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codeName="ThisWorkbook" defaultThemeVersion="124226"/>
  <mc:AlternateContent xmlns:mc="http://schemas.openxmlformats.org/markup-compatibility/2006">
    <mc:Choice Requires="x15">
      <x15ac:absPath xmlns:x15ac="http://schemas.microsoft.com/office/spreadsheetml/2010/11/ac" url="/Users/karinmark/Documents/ KARIN'S WORK/Freelance folder/CORPORATE/Mickelson Consulting/Richmond/BUSINESS RECYCLING RESOURCES PROGRAM/Business Recycling Quiz/Excel Version/"/>
    </mc:Choice>
  </mc:AlternateContent>
  <xr:revisionPtr revIDLastSave="0" documentId="13_ncr:1_{6962E4AE-4590-674A-B09A-0B2E6C995909}" xr6:coauthVersionLast="47" xr6:coauthVersionMax="47" xr10:uidLastSave="{00000000-0000-0000-0000-000000000000}"/>
  <bookViews>
    <workbookView xWindow="8560" yWindow="560" windowWidth="34260" windowHeight="25600" tabRatio="893" activeTab="1" xr2:uid="{00000000-000D-0000-FFFF-FFFF00000000}"/>
  </bookViews>
  <sheets>
    <sheet name="Template" sheetId="22" state="hidden" r:id="rId1"/>
    <sheet name="Quiz" sheetId="24" r:id="rId2"/>
    <sheet name="Calculations" sheetId="23" r:id="rId3"/>
    <sheet name="Outcome" sheetId="25" r:id="rId4"/>
    <sheet name="2023 AptCondo Calculations" sheetId="19" state="hidden" r:id="rId5"/>
    <sheet name="2023Townhouse Calculations " sheetId="14" state="hidden" r:id="rId6"/>
    <sheet name="2023Commercial Calculations" sheetId="18" state="hidden" r:id="rId7"/>
    <sheet name="Townhouse" sheetId="9" state="hidden" r:id="rId8"/>
  </sheets>
  <definedNames>
    <definedName name="_xlnm.Print_Area" localSheetId="4">'2023 AptCondo Calculations'!$A$1:$O$30</definedName>
    <definedName name="_xlnm.Print_Area" localSheetId="6">'2023Commercial Calculations'!$A$1:$K$135</definedName>
    <definedName name="_xlnm.Print_Area" localSheetId="5">'2023Townhouse Calculations '!$A$1:$I$37</definedName>
    <definedName name="_xlnm.Print_Area" localSheetId="0">Template!$A$1:$M$90</definedName>
    <definedName name="_xlnm.Print_Area" localSheetId="7">Townhouse!$A$1:$I$34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24" l="1"/>
  <c r="D6" i="24"/>
  <c r="D7" i="24"/>
  <c r="D8" i="24"/>
  <c r="D9" i="24"/>
  <c r="D10" i="24"/>
  <c r="D11" i="24"/>
  <c r="D12" i="24"/>
  <c r="D13" i="24"/>
  <c r="D14" i="24"/>
  <c r="D15" i="24"/>
  <c r="D4" i="24"/>
  <c r="D16" i="24" l="1"/>
  <c r="B19" i="24" s="1"/>
  <c r="C4" i="19"/>
  <c r="B18" i="24" l="1"/>
  <c r="H88" i="22"/>
  <c r="J88" i="22" s="1"/>
  <c r="L88" i="22" s="1"/>
  <c r="D87" i="22"/>
  <c r="H87" i="22" s="1"/>
  <c r="D86" i="22"/>
  <c r="H86" i="22" s="1"/>
  <c r="J86" i="22" s="1"/>
  <c r="L86" i="22" s="1"/>
  <c r="H85" i="22"/>
  <c r="J85" i="22" s="1"/>
  <c r="L85" i="22" s="1"/>
  <c r="H84" i="22"/>
  <c r="J84" i="22" s="1"/>
  <c r="L84" i="22" s="1"/>
  <c r="H83" i="22"/>
  <c r="J83" i="22" s="1"/>
  <c r="L83" i="22" s="1"/>
  <c r="H82" i="22"/>
  <c r="J82" i="22" s="1"/>
  <c r="L82" i="22" s="1"/>
  <c r="H81" i="22"/>
  <c r="J81" i="22" s="1"/>
  <c r="L81" i="22" s="1"/>
  <c r="A79" i="22"/>
  <c r="D76" i="22"/>
  <c r="H76" i="22" s="1"/>
  <c r="D75" i="22"/>
  <c r="H75" i="22" s="1"/>
  <c r="J75" i="22" s="1"/>
  <c r="L75" i="22" s="1"/>
  <c r="H74" i="22"/>
  <c r="J74" i="22" s="1"/>
  <c r="L74" i="22" s="1"/>
  <c r="H73" i="22"/>
  <c r="J73" i="22" s="1"/>
  <c r="L73" i="22" s="1"/>
  <c r="H72" i="22"/>
  <c r="J72" i="22"/>
  <c r="L72" i="22" s="1"/>
  <c r="H71" i="22"/>
  <c r="J71" i="22" s="1"/>
  <c r="L71" i="22" s="1"/>
  <c r="H70" i="22"/>
  <c r="J70" i="22"/>
  <c r="A68" i="22"/>
  <c r="H65" i="22"/>
  <c r="J65" i="22" s="1"/>
  <c r="L65" i="22" s="1"/>
  <c r="D64" i="22"/>
  <c r="H64" i="22" s="1"/>
  <c r="J64" i="22" s="1"/>
  <c r="L64" i="22" s="1"/>
  <c r="D63" i="22"/>
  <c r="H63" i="22" s="1"/>
  <c r="J63" i="22" s="1"/>
  <c r="L63" i="22" s="1"/>
  <c r="H62" i="22"/>
  <c r="J62" i="22" s="1"/>
  <c r="L62" i="22" s="1"/>
  <c r="H61" i="22"/>
  <c r="J61" i="22" s="1"/>
  <c r="L61" i="22" s="1"/>
  <c r="H60" i="22"/>
  <c r="J60" i="22" s="1"/>
  <c r="L60" i="22" s="1"/>
  <c r="H59" i="22"/>
  <c r="J59" i="22" s="1"/>
  <c r="L59" i="22" s="1"/>
  <c r="H58" i="22"/>
  <c r="J58" i="22" s="1"/>
  <c r="A56" i="22"/>
  <c r="D53" i="22"/>
  <c r="H53" i="22" s="1"/>
  <c r="D52" i="22"/>
  <c r="H52" i="22" s="1"/>
  <c r="H51" i="22"/>
  <c r="J51" i="22"/>
  <c r="L51" i="22" s="1"/>
  <c r="H50" i="22"/>
  <c r="J49" i="22"/>
  <c r="L49" i="22" s="1"/>
  <c r="H49" i="22"/>
  <c r="H48" i="22"/>
  <c r="H47" i="22"/>
  <c r="J47" i="22" s="1"/>
  <c r="L47" i="22" s="1"/>
  <c r="A45" i="22"/>
  <c r="D42" i="22"/>
  <c r="H42" i="22" s="1"/>
  <c r="J42" i="22" s="1"/>
  <c r="L42" i="22" s="1"/>
  <c r="D41" i="22"/>
  <c r="H41" i="22" s="1"/>
  <c r="J41" i="22" s="1"/>
  <c r="L41" i="22" s="1"/>
  <c r="H40" i="22"/>
  <c r="J40" i="22"/>
  <c r="L40" i="22" s="1"/>
  <c r="H39" i="22"/>
  <c r="J39" i="22" s="1"/>
  <c r="L39" i="22" s="1"/>
  <c r="H38" i="22"/>
  <c r="J38" i="22"/>
  <c r="L38" i="22" s="1"/>
  <c r="H37" i="22"/>
  <c r="J37" i="22" s="1"/>
  <c r="L37" i="22" s="1"/>
  <c r="H36" i="22"/>
  <c r="J36" i="22" s="1"/>
  <c r="A34" i="22"/>
  <c r="D26" i="22"/>
  <c r="D25" i="22"/>
  <c r="J7" i="22"/>
  <c r="F6" i="22"/>
  <c r="J53" i="22" l="1"/>
  <c r="L53" i="22" s="1"/>
  <c r="L58" i="22"/>
  <c r="L66" i="22" s="1"/>
  <c r="D16" i="22" s="1"/>
  <c r="J66" i="22"/>
  <c r="D15" i="22" s="1"/>
  <c r="J76" i="22"/>
  <c r="L76" i="22" s="1"/>
  <c r="J77" i="22"/>
  <c r="E15" i="22" s="1"/>
  <c r="L70" i="22"/>
  <c r="J87" i="22"/>
  <c r="L87" i="22" s="1"/>
  <c r="L89" i="22" s="1"/>
  <c r="F16" i="22" s="1"/>
  <c r="L36" i="22"/>
  <c r="L43" i="22" s="1"/>
  <c r="B16" i="22" s="1"/>
  <c r="J43" i="22"/>
  <c r="B15" i="22" s="1"/>
  <c r="J48" i="22"/>
  <c r="J50" i="22"/>
  <c r="L50" i="22" s="1"/>
  <c r="J52" i="22"/>
  <c r="L52" i="22" s="1"/>
  <c r="J89" i="22"/>
  <c r="F15" i="22" s="1"/>
  <c r="L77" i="22" l="1"/>
  <c r="E16" i="22" s="1"/>
  <c r="J54" i="22"/>
  <c r="C15" i="22" s="1"/>
  <c r="G15" i="22" s="1"/>
  <c r="L48" i="22"/>
  <c r="L54" i="22" s="1"/>
  <c r="C16" i="22" s="1"/>
  <c r="G16" i="22" s="1"/>
  <c r="D25" i="18" l="1"/>
  <c r="D24" i="18"/>
  <c r="C25" i="18"/>
  <c r="C24" i="18"/>
  <c r="C23" i="18"/>
  <c r="C22" i="18"/>
  <c r="C21" i="18"/>
  <c r="C20" i="18"/>
  <c r="C19" i="18"/>
  <c r="C25" i="19" l="1"/>
  <c r="C24" i="19"/>
  <c r="C23" i="19"/>
  <c r="C22" i="19"/>
  <c r="C21" i="19"/>
  <c r="A19" i="19"/>
  <c r="H15" i="19"/>
  <c r="D15" i="19"/>
  <c r="C27" i="19" s="1"/>
  <c r="C15" i="19"/>
  <c r="E27" i="19" s="1"/>
  <c r="D14" i="19"/>
  <c r="C26" i="19" s="1"/>
  <c r="C14" i="19"/>
  <c r="E26" i="19" s="1"/>
  <c r="C13" i="19"/>
  <c r="E25" i="19" s="1"/>
  <c r="C12" i="19"/>
  <c r="E24" i="19" s="1"/>
  <c r="C11" i="19"/>
  <c r="E23" i="19" s="1"/>
  <c r="C10" i="19"/>
  <c r="E22" i="19" s="1"/>
  <c r="C9" i="19"/>
  <c r="E21" i="19" s="1"/>
  <c r="A7" i="19"/>
  <c r="C126" i="18"/>
  <c r="E124" i="18"/>
  <c r="C123" i="18"/>
  <c r="C122" i="18"/>
  <c r="C121" i="18"/>
  <c r="C120" i="18"/>
  <c r="C119" i="18"/>
  <c r="C112" i="18"/>
  <c r="C111" i="18"/>
  <c r="C110" i="18"/>
  <c r="C109" i="18"/>
  <c r="C108" i="18"/>
  <c r="C103" i="18"/>
  <c r="A103" i="18"/>
  <c r="A126" i="18" s="1"/>
  <c r="C100" i="18"/>
  <c r="C99" i="18"/>
  <c r="C98" i="18"/>
  <c r="C97" i="18"/>
  <c r="C96" i="18"/>
  <c r="C89" i="18"/>
  <c r="C88" i="18"/>
  <c r="C87" i="18"/>
  <c r="C86" i="18"/>
  <c r="C85" i="18"/>
  <c r="F85" i="18" s="1"/>
  <c r="A83" i="18"/>
  <c r="B131" i="18" s="1"/>
  <c r="C78" i="18"/>
  <c r="C77" i="18"/>
  <c r="C76" i="18"/>
  <c r="C75" i="18"/>
  <c r="C74" i="18"/>
  <c r="C67" i="18"/>
  <c r="E126" i="18" s="1"/>
  <c r="D66" i="18"/>
  <c r="C125" i="18" s="1"/>
  <c r="C66" i="18"/>
  <c r="E125" i="18" s="1"/>
  <c r="D65" i="18"/>
  <c r="C124" i="18" s="1"/>
  <c r="C65" i="18"/>
  <c r="H64" i="18"/>
  <c r="C64" i="18"/>
  <c r="E123" i="18" s="1"/>
  <c r="C63" i="18"/>
  <c r="E122" i="18" s="1"/>
  <c r="F122" i="18" s="1"/>
  <c r="H122" i="18" s="1"/>
  <c r="C62" i="18"/>
  <c r="E121" i="18" s="1"/>
  <c r="C61" i="18"/>
  <c r="E120" i="18" s="1"/>
  <c r="C60" i="18"/>
  <c r="E119" i="18" s="1"/>
  <c r="A58" i="18"/>
  <c r="A117" i="18" s="1"/>
  <c r="B134" i="18" s="1"/>
  <c r="H56" i="18"/>
  <c r="D56" i="18"/>
  <c r="C114" i="18" s="1"/>
  <c r="C56" i="18"/>
  <c r="E114" i="18" s="1"/>
  <c r="H55" i="18"/>
  <c r="D55" i="18"/>
  <c r="C113" i="18" s="1"/>
  <c r="C55" i="18"/>
  <c r="E113" i="18" s="1"/>
  <c r="H54" i="18"/>
  <c r="C54" i="18"/>
  <c r="E112" i="18" s="1"/>
  <c r="F112" i="18" s="1"/>
  <c r="H112" i="18" s="1"/>
  <c r="C53" i="18"/>
  <c r="E111" i="18" s="1"/>
  <c r="H52" i="18"/>
  <c r="C52" i="18"/>
  <c r="E110" i="18" s="1"/>
  <c r="C51" i="18"/>
  <c r="E109" i="18" s="1"/>
  <c r="H50" i="18"/>
  <c r="C50" i="18"/>
  <c r="E108" i="18" s="1"/>
  <c r="A48" i="18"/>
  <c r="A106" i="18" s="1"/>
  <c r="B133" i="18" s="1"/>
  <c r="C46" i="18"/>
  <c r="E103" i="18" s="1"/>
  <c r="D45" i="18"/>
  <c r="C102" i="18" s="1"/>
  <c r="C45" i="18"/>
  <c r="E102" i="18" s="1"/>
  <c r="H44" i="18"/>
  <c r="D44" i="18"/>
  <c r="C101" i="18" s="1"/>
  <c r="C44" i="18"/>
  <c r="E101" i="18" s="1"/>
  <c r="H43" i="18"/>
  <c r="C43" i="18"/>
  <c r="E100" i="18" s="1"/>
  <c r="C42" i="18"/>
  <c r="E99" i="18" s="1"/>
  <c r="F99" i="18" s="1"/>
  <c r="H99" i="18" s="1"/>
  <c r="H41" i="18"/>
  <c r="C41" i="18"/>
  <c r="E98" i="18" s="1"/>
  <c r="C40" i="18"/>
  <c r="E97" i="18" s="1"/>
  <c r="F97" i="18" s="1"/>
  <c r="H97" i="18" s="1"/>
  <c r="H39" i="18"/>
  <c r="C39" i="18"/>
  <c r="E96" i="18" s="1"/>
  <c r="A37" i="18"/>
  <c r="A94" i="18" s="1"/>
  <c r="B132" i="18" s="1"/>
  <c r="D35" i="18"/>
  <c r="C91" i="18" s="1"/>
  <c r="C35" i="18"/>
  <c r="E91" i="18" s="1"/>
  <c r="D34" i="18"/>
  <c r="C90" i="18" s="1"/>
  <c r="C34" i="18"/>
  <c r="E90" i="18" s="1"/>
  <c r="C33" i="18"/>
  <c r="E89" i="18" s="1"/>
  <c r="C32" i="18"/>
  <c r="E88" i="18" s="1"/>
  <c r="H31" i="18"/>
  <c r="C31" i="18"/>
  <c r="E87" i="18" s="1"/>
  <c r="C30" i="18"/>
  <c r="E86" i="18" s="1"/>
  <c r="H29" i="18"/>
  <c r="C29" i="18"/>
  <c r="E85" i="18" s="1"/>
  <c r="A27" i="18"/>
  <c r="C80" i="18"/>
  <c r="E80" i="18"/>
  <c r="C79" i="18"/>
  <c r="E79" i="18"/>
  <c r="H23" i="18"/>
  <c r="E78" i="18"/>
  <c r="E77" i="18"/>
  <c r="F77" i="18" s="1"/>
  <c r="H77" i="18" s="1"/>
  <c r="E76" i="18"/>
  <c r="E75" i="18"/>
  <c r="E74" i="18"/>
  <c r="A17" i="18"/>
  <c r="A72" i="18" s="1"/>
  <c r="B130" i="18" s="1"/>
  <c r="J7" i="18"/>
  <c r="F6" i="18"/>
  <c r="F123" i="18" l="1"/>
  <c r="H123" i="18" s="1"/>
  <c r="F98" i="18"/>
  <c r="H98" i="18" s="1"/>
  <c r="F108" i="18"/>
  <c r="F120" i="18"/>
  <c r="H120" i="18" s="1"/>
  <c r="F110" i="18"/>
  <c r="H110" i="18" s="1"/>
  <c r="F126" i="18"/>
  <c r="H126" i="18" s="1"/>
  <c r="F75" i="18"/>
  <c r="H75" i="18" s="1"/>
  <c r="F103" i="18"/>
  <c r="H103" i="18" s="1"/>
  <c r="F102" i="18"/>
  <c r="H102" i="18" s="1"/>
  <c r="F101" i="18"/>
  <c r="H101" i="18" s="1"/>
  <c r="F125" i="18"/>
  <c r="H125" i="18" s="1"/>
  <c r="F113" i="18"/>
  <c r="H113" i="18" s="1"/>
  <c r="F100" i="18"/>
  <c r="H100" i="18" s="1"/>
  <c r="F121" i="18"/>
  <c r="H121" i="18" s="1"/>
  <c r="F111" i="18"/>
  <c r="H111" i="18" s="1"/>
  <c r="F119" i="18"/>
  <c r="F124" i="18"/>
  <c r="H124" i="18" s="1"/>
  <c r="F26" i="19"/>
  <c r="H26" i="19" s="1"/>
  <c r="F21" i="19"/>
  <c r="F27" i="19"/>
  <c r="H27" i="19" s="1"/>
  <c r="F22" i="19"/>
  <c r="H22" i="19" s="1"/>
  <c r="F23" i="19"/>
  <c r="H23" i="19" s="1"/>
  <c r="F24" i="19"/>
  <c r="H24" i="19" s="1"/>
  <c r="F25" i="19"/>
  <c r="H25" i="19" s="1"/>
  <c r="H85" i="18"/>
  <c r="H119" i="18"/>
  <c r="F127" i="18"/>
  <c r="C134" i="18" s="1"/>
  <c r="E134" i="18" s="1"/>
  <c r="F79" i="18"/>
  <c r="H79" i="18" s="1"/>
  <c r="F86" i="18"/>
  <c r="H86" i="18" s="1"/>
  <c r="F74" i="18"/>
  <c r="F80" i="18"/>
  <c r="H80" i="18" s="1"/>
  <c r="F76" i="18"/>
  <c r="H76" i="18" s="1"/>
  <c r="F90" i="18"/>
  <c r="H90" i="18" s="1"/>
  <c r="F91" i="18"/>
  <c r="H91" i="18" s="1"/>
  <c r="H108" i="18"/>
  <c r="F109" i="18"/>
  <c r="H109" i="18" s="1"/>
  <c r="F88" i="18"/>
  <c r="H88" i="18" s="1"/>
  <c r="F78" i="18"/>
  <c r="H78" i="18" s="1"/>
  <c r="F96" i="18"/>
  <c r="F87" i="18"/>
  <c r="H87" i="18" s="1"/>
  <c r="F114" i="18"/>
  <c r="H114" i="18" s="1"/>
  <c r="F89" i="18"/>
  <c r="H89" i="18" s="1"/>
  <c r="H21" i="19" l="1"/>
  <c r="F29" i="19"/>
  <c r="F28" i="19"/>
  <c r="H127" i="18"/>
  <c r="H115" i="18"/>
  <c r="F115" i="18"/>
  <c r="C133" i="18" s="1"/>
  <c r="E133" i="18" s="1"/>
  <c r="F81" i="18"/>
  <c r="C130" i="18" s="1"/>
  <c r="H74" i="18"/>
  <c r="H81" i="18" s="1"/>
  <c r="H92" i="18"/>
  <c r="F104" i="18"/>
  <c r="C132" i="18" s="1"/>
  <c r="E132" i="18" s="1"/>
  <c r="H96" i="18"/>
  <c r="H104" i="18" s="1"/>
  <c r="F92" i="18"/>
  <c r="C131" i="18" s="1"/>
  <c r="E131" i="18" s="1"/>
  <c r="H29" i="19" l="1"/>
  <c r="H28" i="19"/>
  <c r="C135" i="18"/>
  <c r="E135" i="18" s="1"/>
  <c r="E130" i="18"/>
  <c r="C30" i="14" l="1"/>
  <c r="C29" i="14" l="1"/>
  <c r="C31" i="14" l="1"/>
  <c r="C28" i="14"/>
  <c r="C27" i="14"/>
  <c r="D16" i="14"/>
  <c r="C32" i="14" s="1"/>
  <c r="D17" i="14"/>
  <c r="C33" i="14" s="1"/>
  <c r="C17" i="14" l="1"/>
  <c r="E33" i="14" s="1"/>
  <c r="F33" i="14" s="1"/>
  <c r="C16" i="14"/>
  <c r="E32" i="14" s="1"/>
  <c r="C15" i="14"/>
  <c r="E31" i="14" s="1"/>
  <c r="C14" i="14"/>
  <c r="E30" i="14" s="1"/>
  <c r="C13" i="14"/>
  <c r="E29" i="14" s="1"/>
  <c r="F29" i="14" s="1"/>
  <c r="C12" i="14"/>
  <c r="E28" i="14" s="1"/>
  <c r="C11" i="14"/>
  <c r="E27" i="14" s="1"/>
  <c r="C37" i="14"/>
  <c r="A25" i="14"/>
  <c r="A9" i="14"/>
  <c r="C4" i="14"/>
  <c r="F31" i="14" l="1"/>
  <c r="H31" i="14" s="1"/>
  <c r="F30" i="14"/>
  <c r="H30" i="14" s="1"/>
  <c r="H33" i="14"/>
  <c r="F32" i="14"/>
  <c r="H32" i="14" s="1"/>
  <c r="F28" i="14"/>
  <c r="H28" i="14" s="1"/>
  <c r="F27" i="14"/>
  <c r="H27" i="14" s="1"/>
  <c r="H29" i="14"/>
  <c r="H34" i="14" l="1"/>
  <c r="F34" i="14"/>
  <c r="B37" i="14" s="1"/>
  <c r="C34" i="9"/>
  <c r="C28" i="9"/>
  <c r="C27" i="9"/>
  <c r="C26" i="9"/>
  <c r="C25" i="9"/>
  <c r="C24" i="9"/>
  <c r="A22" i="9"/>
  <c r="E30" i="9"/>
  <c r="A9" i="9"/>
  <c r="C4" i="9"/>
  <c r="D17" i="9" l="1"/>
  <c r="C30" i="9" s="1"/>
  <c r="F30" i="9" s="1"/>
  <c r="H30" i="9" s="1"/>
  <c r="D16" i="9"/>
  <c r="C29" i="9" s="1"/>
  <c r="C16" i="9"/>
  <c r="E29" i="9" s="1"/>
  <c r="F29" i="9" l="1"/>
  <c r="H29" i="9" s="1"/>
  <c r="C15" i="9"/>
  <c r="E28" i="9" s="1"/>
  <c r="F28" i="9" s="1"/>
  <c r="H28" i="9" s="1"/>
  <c r="C14" i="9"/>
  <c r="E27" i="9" s="1"/>
  <c r="F27" i="9" s="1"/>
  <c r="H27" i="9" s="1"/>
  <c r="C13" i="9"/>
  <c r="E26" i="9" s="1"/>
  <c r="F26" i="9" s="1"/>
  <c r="H26" i="9" s="1"/>
  <c r="C11" i="9"/>
  <c r="E24" i="9" s="1"/>
  <c r="F24" i="9" s="1"/>
  <c r="C12" i="9"/>
  <c r="E25" i="9" s="1"/>
  <c r="F25" i="9" s="1"/>
  <c r="H25" i="9" s="1"/>
  <c r="H24" i="9" l="1"/>
  <c r="H31" i="9" s="1"/>
  <c r="F31" i="9"/>
  <c r="B34" i="9" s="1"/>
</calcChain>
</file>

<file path=xl/sharedStrings.xml><?xml version="1.0" encoding="utf-8"?>
<sst xmlns="http://schemas.openxmlformats.org/spreadsheetml/2006/main" count="1271" uniqueCount="162">
  <si>
    <t>Number of Bins</t>
  </si>
  <si>
    <t>Residential Mixed Containers</t>
  </si>
  <si>
    <t>Residential Glass</t>
  </si>
  <si>
    <t>Residential Garbage</t>
  </si>
  <si>
    <t>Collection Frequency</t>
  </si>
  <si>
    <t>Residential</t>
  </si>
  <si>
    <t>2) Number of Bins per Waste Stream</t>
  </si>
  <si>
    <t>Residential Food Scraps, and Yard Trimmings</t>
  </si>
  <si>
    <t>Size of Bin</t>
  </si>
  <si>
    <t>Data Validation</t>
  </si>
  <si>
    <t>120L</t>
  </si>
  <si>
    <t>240L</t>
  </si>
  <si>
    <t>360L</t>
  </si>
  <si>
    <t>2yd3</t>
  </si>
  <si>
    <t>3yd3</t>
  </si>
  <si>
    <t>4yd3</t>
  </si>
  <si>
    <t>6yd3</t>
  </si>
  <si>
    <t>8yd3</t>
  </si>
  <si>
    <t>N/A</t>
  </si>
  <si>
    <t>3) Storage Space Requirements</t>
  </si>
  <si>
    <t>1x</t>
  </si>
  <si>
    <t>Week</t>
  </si>
  <si>
    <t>per</t>
  </si>
  <si>
    <t>Storage Area Required</t>
  </si>
  <si>
    <t>m2</t>
  </si>
  <si>
    <t>Total Space Required</t>
  </si>
  <si>
    <t>Total</t>
  </si>
  <si>
    <t>Do not use or edit this area</t>
  </si>
  <si>
    <t>= field for your input</t>
  </si>
  <si>
    <t>Storage Area Required for One Container</t>
  </si>
  <si>
    <t>1) Total Number of Residential Units</t>
  </si>
  <si>
    <t>Commercial</t>
  </si>
  <si>
    <t>Storage Area Required for One Container*</t>
  </si>
  <si>
    <t>1) Commercial Space</t>
  </si>
  <si>
    <t>Large Venue</t>
  </si>
  <si>
    <t>Total Commercial Space</t>
  </si>
  <si>
    <t>Commercial Mixed Containers</t>
  </si>
  <si>
    <t>Commercial Mixed Paper (including newspaper)</t>
  </si>
  <si>
    <t>Hospitality Lodging</t>
  </si>
  <si>
    <t># of Rooms</t>
  </si>
  <si>
    <t>Commercial Glass</t>
  </si>
  <si>
    <t>Commercial Food Scraps, and Yard Trimmings</t>
  </si>
  <si>
    <t>Commercial Cardboard</t>
  </si>
  <si>
    <t>Commercial Garbage</t>
  </si>
  <si>
    <t>Square meters of Commercial Space</t>
  </si>
  <si>
    <t>Commercial Grease/Tallow</t>
  </si>
  <si>
    <t>* Calculations for storage areas required for one container is based on Attachment 3.  If your measurements differ, you will need to calculate this using the manual form</t>
  </si>
  <si>
    <t>Residential Corrugated Cardboard</t>
  </si>
  <si>
    <t>Residential Mixed Paper</t>
  </si>
  <si>
    <t xml:space="preserve">Space Allocation for Storage Facility Needed: </t>
  </si>
  <si>
    <t>TOTAL</t>
  </si>
  <si>
    <t>18.6L</t>
  </si>
  <si>
    <t>*Table below is based on the information provided in Attachment 2 and is calculated based on the number of residential units indicated above</t>
  </si>
  <si>
    <t>* Table below is based on the information provided in Attachment 3 and is calculated based on the information provided in the table above.  It should be noted that if your measurements differ, you will need to calculate this yourself using the information provided in Attachment 3.</t>
  </si>
  <si>
    <t>Townhouse</t>
  </si>
  <si>
    <t>ft2</t>
  </si>
  <si>
    <t>Residential Refundable Beverage Containers</t>
  </si>
  <si>
    <t>Commercial Refundable Beverage Containers</t>
  </si>
  <si>
    <t>*</t>
  </si>
  <si>
    <t xml:space="preserve">Total square meters of each type of commercial space must be 5000 or less.  If greater than 5000 it is recommended that you discuss options with your waste hauler. </t>
  </si>
  <si>
    <t xml:space="preserve">Total number of rooms must be 100 or less.  If greater than 100 it is recommended that you discuss options with your waste hauler. </t>
  </si>
  <si>
    <t>Square Feet to Square Meter Calculator</t>
  </si>
  <si>
    <t xml:space="preserve">It should be noted that these guidelines do not include the number of bins for all types of commercial spaces and that many factors need to be taken into consideration for all types of commercial spaces.  All developments must have basic carts for recycling, garbage and food scraps but may require additional bins, need additional servicing and/or require customization.  It is recommended that you consult with a waste services provider to discuss options. </t>
  </si>
  <si>
    <t>Apartment/Condominium</t>
  </si>
  <si>
    <t>Residential - Townhouse</t>
  </si>
  <si>
    <r>
      <t>3yd</t>
    </r>
    <r>
      <rPr>
        <sz val="11"/>
        <color theme="1"/>
        <rFont val="Calibri"/>
        <family val="2"/>
      </rPr>
      <t>³</t>
    </r>
  </si>
  <si>
    <t>Office, Childcare &amp; School</t>
  </si>
  <si>
    <t>Retail, Light Industrial &amp; Warehouse</t>
  </si>
  <si>
    <t>Restaurant &amp; Grocery Store</t>
  </si>
  <si>
    <t>Residential Mixed Paper (Without a cardboard bin)</t>
  </si>
  <si>
    <t>Residential Mixed Paper (With a cardboard bin)</t>
  </si>
  <si>
    <t>Container Measurements and Sotrage Space required</t>
  </si>
  <si>
    <t>80L</t>
  </si>
  <si>
    <r>
      <t>m</t>
    </r>
    <r>
      <rPr>
        <sz val="11"/>
        <color theme="1"/>
        <rFont val="Calibri"/>
        <family val="2"/>
      </rPr>
      <t>²</t>
    </r>
  </si>
  <si>
    <t>ft²</t>
  </si>
  <si>
    <t>m²</t>
  </si>
  <si>
    <t>4yd³</t>
  </si>
  <si>
    <t>6yd³</t>
  </si>
  <si>
    <t>46.5L</t>
  </si>
  <si>
    <t>Number of Bins per Waste Stream/Storage Space Requirements</t>
  </si>
  <si>
    <t>Total Space Allocation for Storage Facility Needed:</t>
  </si>
  <si>
    <r>
      <t>m</t>
    </r>
    <r>
      <rPr>
        <b/>
        <sz val="11"/>
        <color theme="1"/>
        <rFont val="Calibri"/>
        <family val="2"/>
      </rPr>
      <t>²</t>
    </r>
  </si>
  <si>
    <t>Commercial Space</t>
  </si>
  <si>
    <t xml:space="preserve">Total Number of Bins </t>
  </si>
  <si>
    <t>Total with cardboard bin</t>
  </si>
  <si>
    <t>Total without cardboard bin</t>
  </si>
  <si>
    <t>#N/A</t>
  </si>
  <si>
    <t xml:space="preserve">- For efficient use of space, a garbage compactor and a recycling compactor for paper, cardboard and mixed containers are suggested for large complexes greater than 270 units, unless recycling bins can be used instead of carts, or collection frequency can be increased beyond </t>
  </si>
  <si>
    <r>
      <t xml:space="preserve">*Table below is based on the information provided in </t>
    </r>
    <r>
      <rPr>
        <b/>
        <i/>
        <sz val="11"/>
        <color theme="1"/>
        <rFont val="Calibri"/>
        <family val="2"/>
        <scheme val="minor"/>
      </rPr>
      <t xml:space="preserve">Attachment 2 Res </t>
    </r>
    <r>
      <rPr>
        <i/>
        <sz val="11"/>
        <color theme="1"/>
        <rFont val="Calibri"/>
        <family val="2"/>
        <scheme val="minor"/>
      </rPr>
      <t>and is calculated based on the number of residential units indicated above</t>
    </r>
  </si>
  <si>
    <t xml:space="preserve">Questions </t>
  </si>
  <si>
    <t>Answers</t>
  </si>
  <si>
    <t xml:space="preserve">Points </t>
  </si>
  <si>
    <t xml:space="preserve">Yes, we have hauling service and/or we take these materials to the Richmond Recycling Depot or other recycling facility. </t>
  </si>
  <si>
    <t>Yes, but not a lot so my business puts these items in the garbage.</t>
  </si>
  <si>
    <t>No, my business doesn’t generate this type of waste so no recycling is needed.</t>
  </si>
  <si>
    <t>Not sure – I guess I need more information.</t>
  </si>
  <si>
    <t>My business generates carboard and/or mixed paper:</t>
  </si>
  <si>
    <t>My business generates food waste (including lunch leftovers):</t>
  </si>
  <si>
    <t>Yes, and my business has a hauling service for food waste recycling.</t>
  </si>
  <si>
    <t>Yes, but not a lot so we put food waste (e.g. leftover staff lunches) in the garbage.</t>
  </si>
  <si>
    <t>No, my business doesn’t generate any food waste.</t>
  </si>
  <si>
    <t>Points</t>
  </si>
  <si>
    <t>Yes, we have recycling hauling services and/or take these items to the Richmond Recycling Depot or other recycling facility.</t>
  </si>
  <si>
    <t>Yes, but not a lot so we put these items in the garbage.</t>
  </si>
  <si>
    <t>No, my business doesn’t generate this type of waste.</t>
  </si>
  <si>
    <t>My business has a plan to collect and recycle materials banned from the garbage such as metal and plastic containers and glass bottles/jars:</t>
  </si>
  <si>
    <t>My business collects and recycles materials such as flexible plastic (e.g. plastic overwrap, plastic bags), Styrofoam, lightbulbs and batteries:</t>
  </si>
  <si>
    <t>No, my business doesn’t generate these materials.</t>
  </si>
  <si>
    <t xml:space="preserve">Comments </t>
  </si>
  <si>
    <t>BEGINNER</t>
  </si>
  <si>
    <t>BASIC</t>
  </si>
  <si>
    <t>ADVANCED</t>
  </si>
  <si>
    <t>Category</t>
  </si>
  <si>
    <t>My business looks for opportunities to repair, refill, repurpose and reuse.</t>
  </si>
  <si>
    <t>My business calculates its waste diversion rate (the percentage of waste that is diverted from the garbage).</t>
  </si>
  <si>
    <t>My business has conducted a waste composition study (either independently or as a service provided by our waste hauler).</t>
  </si>
  <si>
    <t>We remind our staff regularly how to recycle correctly.</t>
  </si>
  <si>
    <t>When new employees start at my business, they are trained on how to recycle correctly as part of the onboarding process.</t>
  </si>
  <si>
    <t>All of the garbage and recycling bins / stations in my business are properly labeled.</t>
  </si>
  <si>
    <t>My business collects and recycles refundable drink containers such as bottles, cans, milk containers and juice boxes:</t>
  </si>
  <si>
    <t>Yes, front of house (customers) and back of house (staff / business operations) are properly labelled.</t>
  </si>
  <si>
    <t>Front of house is labelled for customers, but not back of house.</t>
  </si>
  <si>
    <t>No, the garbage and recycling bins / stations are not labelled.</t>
  </si>
  <si>
    <t>Yes, recycling training is part of the onboarding process and involves a training guide.</t>
  </si>
  <si>
    <t>Yes, recycling training is provided but it is informal, with no established guidelines.</t>
  </si>
  <si>
    <t>No, recycling training is not part of our training process.</t>
  </si>
  <si>
    <t>Yes, we include regular (scheduled) training on how to recycle correctly.</t>
  </si>
  <si>
    <t>Yes, if we notice issues or ongoing problems, we regroup to remind staff how to recycle correctly.</t>
  </si>
  <si>
    <t xml:space="preserve">Yes, within the last 5 years. </t>
  </si>
  <si>
    <t xml:space="preserve">No. </t>
  </si>
  <si>
    <t>No, we don't provide ongoing training or reminders.</t>
  </si>
  <si>
    <t>Not Sure.</t>
  </si>
  <si>
    <t>Yes, my business has calculated its waste diversion rate within the last 5 years.</t>
  </si>
  <si>
    <t>Yes, we calculate our waste diversion rate annually.</t>
  </si>
  <si>
    <t>No, my business has never calculated our waste diversion rate.</t>
  </si>
  <si>
    <t>Not sure.</t>
  </si>
  <si>
    <t xml:space="preserve">Yes. </t>
  </si>
  <si>
    <t xml:space="preserve">Not yet. </t>
  </si>
  <si>
    <t>Your business has a good start to some basic recycling services, but there is room for improvement. 
Recommendation: Check out the resources at richmond.ca/BusinessRecycling and consider workshops and coaching.</t>
  </si>
  <si>
    <r>
      <t xml:space="preserve">Great work! You are a leader in recycling. You can help reduce waste further through initiatives to reuse, refill and repurpose. 
</t>
    </r>
    <r>
      <rPr>
        <b/>
        <sz val="11"/>
        <color theme="1"/>
        <rFont val="Calibri"/>
        <family val="2"/>
        <scheme val="minor"/>
      </rPr>
      <t xml:space="preserve">Recommendation: </t>
    </r>
    <r>
      <rPr>
        <sz val="11"/>
        <color theme="1"/>
        <rFont val="Calibri"/>
        <family val="2"/>
        <scheme val="minor"/>
      </rPr>
      <t>Check out the resources at richmond.ca/BusinessRecycling to learn more.</t>
    </r>
  </si>
  <si>
    <r>
      <t xml:space="preserve">Great work! You are a leader in recycling. You can help reduce waste further through initiatives to reuse, refill and repurpose. 
</t>
    </r>
    <r>
      <rPr>
        <b/>
        <sz val="11"/>
        <color theme="1"/>
        <rFont val="Calibri"/>
        <family val="2"/>
        <scheme val="minor"/>
      </rPr>
      <t>Recommendation:</t>
    </r>
    <r>
      <rPr>
        <sz val="11"/>
        <color theme="1"/>
        <rFont val="Calibri"/>
        <family val="2"/>
        <scheme val="minor"/>
      </rPr>
      <t xml:space="preserve"> Check out the resources at richmond.ca/BusinessRecycling to learn more.</t>
    </r>
  </si>
  <si>
    <r>
      <rPr>
        <b/>
        <sz val="11"/>
        <color theme="1"/>
        <rFont val="Calibri"/>
        <family val="2"/>
        <scheme val="minor"/>
      </rPr>
      <t>Great work!</t>
    </r>
    <r>
      <rPr>
        <sz val="11"/>
        <color theme="1"/>
        <rFont val="Calibri"/>
        <family val="2"/>
        <scheme val="minor"/>
      </rPr>
      <t xml:space="preserve"> You are a leader in recycling. You can help reduce waste further through initiatives to reuse, refill and repurpose. 
</t>
    </r>
    <r>
      <rPr>
        <b/>
        <sz val="11"/>
        <color theme="1"/>
        <rFont val="Calibri"/>
        <family val="2"/>
        <scheme val="minor"/>
      </rPr>
      <t xml:space="preserve">
Recommendation:</t>
    </r>
    <r>
      <rPr>
        <sz val="11"/>
        <color theme="1"/>
        <rFont val="Calibri"/>
        <family val="2"/>
        <scheme val="minor"/>
      </rPr>
      <t xml:space="preserve"> Check out the resources at richmond.ca/BusinessRecycling to learn more.</t>
    </r>
  </si>
  <si>
    <r>
      <rPr>
        <b/>
        <sz val="11"/>
        <color theme="1"/>
        <rFont val="Calibri"/>
        <family val="2"/>
        <scheme val="minor"/>
      </rPr>
      <t xml:space="preserve">Great work! </t>
    </r>
    <r>
      <rPr>
        <sz val="11"/>
        <color theme="1"/>
        <rFont val="Calibri"/>
        <family val="2"/>
        <scheme val="minor"/>
      </rPr>
      <t xml:space="preserve">You are a leader in recycling. You can help reduce waste further through initiatives to reuse, refill and repurpose. 
</t>
    </r>
    <r>
      <rPr>
        <b/>
        <sz val="11"/>
        <color theme="1"/>
        <rFont val="Calibri"/>
        <family val="2"/>
        <scheme val="minor"/>
      </rPr>
      <t xml:space="preserve">Recommendation: </t>
    </r>
    <r>
      <rPr>
        <sz val="11"/>
        <color theme="1"/>
        <rFont val="Calibri"/>
        <family val="2"/>
        <scheme val="minor"/>
      </rPr>
      <t>Check out the resources at richmond.ca/BusinessRecycling to learn more.</t>
    </r>
  </si>
  <si>
    <r>
      <rPr>
        <b/>
        <sz val="11"/>
        <color theme="1"/>
        <rFont val="Calibri"/>
        <family val="2"/>
        <scheme val="minor"/>
      </rPr>
      <t>Great work!</t>
    </r>
    <r>
      <rPr>
        <sz val="11"/>
        <color theme="1"/>
        <rFont val="Calibri"/>
        <family val="2"/>
        <scheme val="minor"/>
      </rPr>
      <t xml:space="preserve"> You are a leader in recycling. You can help reduce waste further through initiatives to reuse, refill and repurpose. 
</t>
    </r>
    <r>
      <rPr>
        <b/>
        <sz val="11"/>
        <color theme="1"/>
        <rFont val="Calibri"/>
        <family val="2"/>
        <scheme val="minor"/>
      </rPr>
      <t xml:space="preserve">Recommendation: </t>
    </r>
    <r>
      <rPr>
        <sz val="11"/>
        <color theme="1"/>
        <rFont val="Calibri"/>
        <family val="2"/>
        <scheme val="minor"/>
      </rPr>
      <t>Check out the resources at richmond.ca/BusinessRecycling to learn more.</t>
    </r>
  </si>
  <si>
    <r>
      <rPr>
        <i/>
        <sz val="11"/>
        <color theme="1"/>
        <rFont val="Calibri"/>
        <family val="2"/>
        <scheme val="minor"/>
      </rPr>
      <t xml:space="preserve">Your business does not have some of the basic recycling services needed to meet bylaws, bans and other regulations. </t>
    </r>
    <r>
      <rPr>
        <sz val="11"/>
        <color theme="1"/>
        <rFont val="Calibri"/>
        <family val="2"/>
        <scheme val="minor"/>
      </rPr>
      <t xml:space="preserve">
</t>
    </r>
    <r>
      <rPr>
        <b/>
        <sz val="11"/>
        <color theme="1"/>
        <rFont val="Calibri"/>
        <family val="2"/>
        <scheme val="minor"/>
      </rPr>
      <t>Recommendation:</t>
    </r>
    <r>
      <rPr>
        <sz val="11"/>
        <color theme="1"/>
        <rFont val="Calibri"/>
        <family val="2"/>
        <scheme val="minor"/>
      </rPr>
      <t xml:space="preserve"> Check out the toolkit and other resources at richmond.ca/BusinessRecycling, sign up for workshops, and consider requesting a site visit and coaching.</t>
    </r>
  </si>
  <si>
    <r>
      <rPr>
        <i/>
        <sz val="11"/>
        <color theme="1"/>
        <rFont val="Calibri"/>
        <family val="2"/>
        <scheme val="minor"/>
      </rPr>
      <t xml:space="preserve">Your business has a good start to some basic recycling services, but there is room for improvement. </t>
    </r>
    <r>
      <rPr>
        <sz val="11"/>
        <color theme="1"/>
        <rFont val="Calibri"/>
        <family val="2"/>
        <scheme val="minor"/>
      </rPr>
      <t xml:space="preserve">
</t>
    </r>
    <r>
      <rPr>
        <b/>
        <sz val="11"/>
        <color theme="1"/>
        <rFont val="Calibri"/>
        <family val="2"/>
        <scheme val="minor"/>
      </rPr>
      <t xml:space="preserve">Recommendation: </t>
    </r>
    <r>
      <rPr>
        <sz val="11"/>
        <color theme="1"/>
        <rFont val="Calibri"/>
        <family val="2"/>
        <scheme val="minor"/>
      </rPr>
      <t>Check out the resources at richmond.ca/BusinessRecycling and consider workshops and coaching.</t>
    </r>
  </si>
  <si>
    <r>
      <rPr>
        <i/>
        <sz val="11"/>
        <color theme="1"/>
        <rFont val="Calibri"/>
        <family val="2"/>
        <scheme val="minor"/>
      </rPr>
      <t xml:space="preserve">Your business has a good start to some basic recycling services, but there is room for improvement. </t>
    </r>
    <r>
      <rPr>
        <sz val="11"/>
        <color theme="1"/>
        <rFont val="Calibri"/>
        <family val="2"/>
        <scheme val="minor"/>
      </rPr>
      <t xml:space="preserve">
</t>
    </r>
    <r>
      <rPr>
        <b/>
        <sz val="11"/>
        <color theme="1"/>
        <rFont val="Calibri"/>
        <family val="2"/>
        <scheme val="minor"/>
      </rPr>
      <t xml:space="preserve">
Recommendation: </t>
    </r>
    <r>
      <rPr>
        <sz val="11"/>
        <color theme="1"/>
        <rFont val="Calibri"/>
        <family val="2"/>
        <scheme val="minor"/>
      </rPr>
      <t>Check out the resources at richmond.ca/BusinessRecycling and consider workshops and coaching.</t>
    </r>
  </si>
  <si>
    <r>
      <rPr>
        <b/>
        <sz val="11"/>
        <color theme="1"/>
        <rFont val="Calibri"/>
        <family val="2"/>
        <scheme val="minor"/>
      </rPr>
      <t>Great work!</t>
    </r>
    <r>
      <rPr>
        <sz val="11"/>
        <color theme="1"/>
        <rFont val="Calibri"/>
        <family val="2"/>
        <scheme val="minor"/>
      </rPr>
      <t xml:space="preserve"> You are a leader in recycling. You can help reduce waste further through initiatives to reuse, refill and repurpose. </t>
    </r>
    <r>
      <rPr>
        <i/>
        <sz val="11"/>
        <color theme="1"/>
        <rFont val="Calibri"/>
        <family val="2"/>
        <scheme val="minor"/>
      </rPr>
      <t xml:space="preserve">
</t>
    </r>
    <r>
      <rPr>
        <b/>
        <sz val="11"/>
        <color theme="1"/>
        <rFont val="Calibri"/>
        <family val="2"/>
        <scheme val="minor"/>
      </rPr>
      <t xml:space="preserve">Recommendation: </t>
    </r>
    <r>
      <rPr>
        <sz val="11"/>
        <color theme="1"/>
        <rFont val="Calibri"/>
        <family val="2"/>
        <scheme val="minor"/>
      </rPr>
      <t>Check out the resources at richmond.ca/BusinessRecycling to learn more.</t>
    </r>
  </si>
  <si>
    <t>My business generates food waste (including lunch leftovers).</t>
  </si>
  <si>
    <t>My business has a plan to collect and recycle materials banned from the garbage such as metal and plastic containers and glass bottles/jars.</t>
  </si>
  <si>
    <t>My business collects and recycles materials such as flexible plastic (e.g. plastic overwrap, plastic bags), Styrofoam, lightbulbs and batteries.</t>
  </si>
  <si>
    <t>My business collects and recycles refundable drink containers such as bottles, cans, milk containers and juice boxes.</t>
  </si>
  <si>
    <r>
      <rPr>
        <i/>
        <sz val="11"/>
        <color theme="1"/>
        <rFont val="Calibri"/>
        <family val="2"/>
        <scheme val="minor"/>
      </rPr>
      <t xml:space="preserve">Your business has a good start on some basic recycling services, but there is room for improvement. </t>
    </r>
    <r>
      <rPr>
        <sz val="11"/>
        <color theme="1"/>
        <rFont val="Calibri"/>
        <family val="2"/>
        <scheme val="minor"/>
      </rPr>
      <t xml:space="preserve">
</t>
    </r>
    <r>
      <rPr>
        <b/>
        <sz val="11"/>
        <color theme="1"/>
        <rFont val="Calibri"/>
        <family val="2"/>
        <scheme val="minor"/>
      </rPr>
      <t xml:space="preserve">Recommendation: </t>
    </r>
    <r>
      <rPr>
        <sz val="11"/>
        <color theme="1"/>
        <rFont val="Calibri"/>
        <family val="2"/>
        <scheme val="minor"/>
      </rPr>
      <t>Check out the resources at richmond.ca/BusinessRecycling and consider workshops and coaching.</t>
    </r>
  </si>
  <si>
    <r>
      <rPr>
        <i/>
        <sz val="11"/>
        <color theme="1"/>
        <rFont val="Calibri"/>
        <family val="2"/>
        <scheme val="minor"/>
      </rPr>
      <t xml:space="preserve">Your business has a good start on some basic recycling services, but there is room for improvement. </t>
    </r>
    <r>
      <rPr>
        <sz val="11"/>
        <color theme="1"/>
        <rFont val="Calibri"/>
        <family val="2"/>
        <scheme val="minor"/>
      </rPr>
      <t xml:space="preserve">
</t>
    </r>
    <r>
      <rPr>
        <b/>
        <sz val="11"/>
        <color theme="1"/>
        <rFont val="Calibri"/>
        <family val="2"/>
        <scheme val="minor"/>
      </rPr>
      <t xml:space="preserve">
Recommendation:</t>
    </r>
    <r>
      <rPr>
        <sz val="11"/>
        <color theme="1"/>
        <rFont val="Calibri"/>
        <family val="2"/>
        <scheme val="minor"/>
      </rPr>
      <t xml:space="preserve"> Check out the resources at richmond.ca/BusinessRecycling and consider workshops and coaching.</t>
    </r>
  </si>
  <si>
    <r>
      <rPr>
        <i/>
        <sz val="11"/>
        <color theme="1"/>
        <rFont val="Calibri"/>
        <family val="2"/>
        <scheme val="minor"/>
      </rPr>
      <t xml:space="preserve">Your business has a good start to some basic recycling services, but there is room for improvement. </t>
    </r>
    <r>
      <rPr>
        <sz val="11"/>
        <color theme="1"/>
        <rFont val="Calibri"/>
        <family val="2"/>
        <scheme val="minor"/>
      </rPr>
      <t xml:space="preserve">
</t>
    </r>
    <r>
      <rPr>
        <b/>
        <sz val="11"/>
        <color theme="1"/>
        <rFont val="Calibri"/>
        <family val="2"/>
        <scheme val="minor"/>
      </rPr>
      <t>Recommendation</t>
    </r>
    <r>
      <rPr>
        <sz val="11"/>
        <color theme="1"/>
        <rFont val="Calibri"/>
        <family val="2"/>
        <scheme val="minor"/>
      </rPr>
      <t>: Check out the resources at richmond.ca/BusinessRecycling and consider workshops and coaching</t>
    </r>
    <r>
      <rPr>
        <b/>
        <sz val="11"/>
        <color theme="1"/>
        <rFont val="Calibri"/>
        <family val="2"/>
        <scheme val="minor"/>
      </rPr>
      <t>.</t>
    </r>
  </si>
  <si>
    <t>richmond.ca/BusinessRecycling</t>
  </si>
  <si>
    <t>More information and resources:</t>
  </si>
  <si>
    <t>SCENARIOS</t>
  </si>
  <si>
    <t>(Box will begin to populate as you select options. Complete all questions to see final result.)</t>
  </si>
  <si>
    <t xml:space="preserve">YOUR RESULTS </t>
  </si>
  <si>
    <t>My business generates cardboard and/or mixed paper.</t>
  </si>
  <si>
    <r>
      <rPr>
        <b/>
        <sz val="15"/>
        <color rgb="FF0081C4"/>
        <rFont val="Calibri"/>
        <family val="2"/>
      </rPr>
      <t xml:space="preserve">OPTIONS </t>
    </r>
    <r>
      <rPr>
        <i/>
        <sz val="11"/>
        <color theme="1" tint="0.249977111117893"/>
        <rFont val="Calibri"/>
        <family val="2"/>
      </rPr>
      <t xml:space="preserve">(Click the box below to reveal menu icon at right, then select the option that describes you best.)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</si>
</sst>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_);_(* \(#,##0.00\);_(* &quot;-&quot;??????_);_(@_)"/>
  </numFmts>
  <fonts count="23"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
      <sz val="11"/>
      <color theme="1"/>
      <name val="Calibri"/>
      <family val="2"/>
    </font>
    <font>
      <b/>
      <sz val="11"/>
      <name val="Calibri"/>
      <family val="2"/>
      <scheme val="minor"/>
    </font>
    <font>
      <b/>
      <i/>
      <sz val="11"/>
      <color theme="1"/>
      <name val="Calibri"/>
      <family val="2"/>
      <scheme val="minor"/>
    </font>
    <font>
      <b/>
      <sz val="11"/>
      <color theme="1"/>
      <name val="Calibri"/>
      <family val="2"/>
    </font>
    <font>
      <sz val="11"/>
      <color theme="0"/>
      <name val="Calibri"/>
      <family val="2"/>
      <scheme val="minor"/>
    </font>
    <font>
      <u/>
      <sz val="11"/>
      <color theme="10"/>
      <name val="Calibri"/>
      <family val="2"/>
      <scheme val="minor"/>
    </font>
    <font>
      <b/>
      <sz val="11"/>
      <color theme="1" tint="0.249977111117893"/>
      <name val="Calibri"/>
      <family val="2"/>
    </font>
    <font>
      <i/>
      <sz val="11"/>
      <color theme="1" tint="0.249977111117893"/>
      <name val="Calibri"/>
      <family val="2"/>
    </font>
    <font>
      <sz val="11"/>
      <color theme="6" tint="0.79998168889431442"/>
      <name val="Calibri"/>
      <family val="2"/>
    </font>
    <font>
      <i/>
      <sz val="12"/>
      <color theme="1"/>
      <name val="Calibri"/>
      <family val="2"/>
    </font>
    <font>
      <b/>
      <sz val="12"/>
      <color theme="3"/>
      <name val="Calibri"/>
      <family val="2"/>
    </font>
    <font>
      <sz val="11"/>
      <color rgb="FF0070C0"/>
      <name val="Calibri"/>
      <family val="2"/>
    </font>
    <font>
      <b/>
      <sz val="13"/>
      <color rgb="FF0081C4"/>
      <name val="Calibri"/>
      <family val="2"/>
    </font>
    <font>
      <u/>
      <sz val="13"/>
      <color theme="10"/>
      <name val="Calibri"/>
      <family val="2"/>
    </font>
    <font>
      <b/>
      <sz val="15"/>
      <color rgb="FF0081C4"/>
      <name val="Calibri"/>
      <family val="2"/>
    </font>
    <font>
      <b/>
      <sz val="12"/>
      <color rgb="FF0081C4"/>
      <name val="Calibri"/>
      <family val="2"/>
    </font>
    <font>
      <b/>
      <sz val="11"/>
      <color rgb="FF0081C4"/>
      <name val="Calibri"/>
      <family val="2"/>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ck">
        <color rgb="FF0070C0"/>
      </left>
      <right style="thick">
        <color rgb="FF0070C0"/>
      </right>
      <top style="thick">
        <color rgb="FF0070C0"/>
      </top>
      <bottom/>
      <diagonal/>
    </border>
    <border>
      <left style="thick">
        <color rgb="FF0070C0"/>
      </left>
      <right style="thick">
        <color rgb="FF0070C0"/>
      </right>
      <top/>
      <bottom style="thick">
        <color rgb="FF0070C0"/>
      </bottom>
      <diagonal/>
    </border>
    <border>
      <left/>
      <right/>
      <top/>
      <bottom style="thin">
        <color theme="6"/>
      </bottom>
      <diagonal/>
    </border>
    <border>
      <left/>
      <right/>
      <top style="thin">
        <color theme="6"/>
      </top>
      <bottom style="thin">
        <color theme="6"/>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cellStyleXfs>
  <cellXfs count="149">
    <xf numFmtId="0" fontId="0" fillId="0" borderId="0" xfId="0"/>
    <xf numFmtId="0" fontId="0" fillId="0" borderId="1" xfId="0" applyBorder="1" applyAlignment="1">
      <alignment horizontal="center"/>
    </xf>
    <xf numFmtId="0" fontId="0" fillId="2" borderId="0" xfId="0" applyFill="1"/>
    <xf numFmtId="0" fontId="1" fillId="0" borderId="0" xfId="0" applyFont="1"/>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0" fontId="0" fillId="3" borderId="0" xfId="0" applyFill="1"/>
    <xf numFmtId="0" fontId="0" fillId="0" borderId="0" xfId="0" quotePrefix="1"/>
    <xf numFmtId="0" fontId="1" fillId="5" borderId="0" xfId="0" applyFont="1" applyFill="1"/>
    <xf numFmtId="0" fontId="0" fillId="5" borderId="0" xfId="0" applyFill="1"/>
    <xf numFmtId="0" fontId="1" fillId="5" borderId="0" xfId="0" applyFont="1" applyFill="1" applyAlignment="1">
      <alignment wrapText="1"/>
    </xf>
    <xf numFmtId="0" fontId="1" fillId="5" borderId="0" xfId="0" applyFont="1" applyFill="1" applyAlignment="1">
      <alignment horizontal="center"/>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horizontal="center"/>
    </xf>
    <xf numFmtId="0" fontId="0" fillId="0" borderId="3" xfId="0" applyBorder="1"/>
    <xf numFmtId="0" fontId="0" fillId="0" borderId="2" xfId="0" applyBorder="1"/>
    <xf numFmtId="0" fontId="0" fillId="0" borderId="4" xfId="0" applyBorder="1"/>
    <xf numFmtId="0" fontId="1" fillId="0" borderId="2" xfId="0" applyFont="1" applyBorder="1" applyAlignment="1">
      <alignment wrapText="1"/>
    </xf>
    <xf numFmtId="0" fontId="1" fillId="0" borderId="4" xfId="0" applyFont="1" applyBorder="1" applyAlignment="1">
      <alignment wrapText="1"/>
    </xf>
    <xf numFmtId="164" fontId="0" fillId="3" borderId="1" xfId="1" applyNumberFormat="1" applyFont="1" applyFill="1" applyBorder="1" applyAlignment="1">
      <alignment horizontal="center"/>
    </xf>
    <xf numFmtId="0" fontId="1" fillId="4" borderId="0" xfId="0" applyFont="1" applyFill="1" applyAlignment="1">
      <alignment wrapText="1"/>
    </xf>
    <xf numFmtId="0" fontId="1" fillId="4" borderId="0" xfId="0" applyFont="1" applyFill="1"/>
    <xf numFmtId="0" fontId="0" fillId="4" borderId="0" xfId="0" applyFill="1"/>
    <xf numFmtId="0" fontId="0" fillId="0" borderId="9" xfId="0" applyBorder="1" applyAlignment="1">
      <alignment wrapText="1"/>
    </xf>
    <xf numFmtId="0" fontId="0" fillId="0" borderId="10" xfId="0" applyBorder="1" applyAlignment="1">
      <alignment wrapText="1"/>
    </xf>
    <xf numFmtId="0" fontId="2" fillId="0" borderId="4" xfId="0" applyFont="1" applyBorder="1" applyAlignment="1">
      <alignment wrapText="1"/>
    </xf>
    <xf numFmtId="0" fontId="1" fillId="0" borderId="0" xfId="0" applyFont="1" applyAlignment="1">
      <alignment horizontal="right"/>
    </xf>
    <xf numFmtId="0" fontId="1" fillId="0" borderId="0" xfId="0" applyFont="1" applyAlignment="1">
      <alignment wrapText="1"/>
    </xf>
    <xf numFmtId="0" fontId="0" fillId="0" borderId="1" xfId="0" applyBorder="1" applyAlignment="1">
      <alignment horizontal="center" vertical="center"/>
    </xf>
    <xf numFmtId="0" fontId="1" fillId="6" borderId="0" xfId="0" applyFont="1" applyFill="1"/>
    <xf numFmtId="0" fontId="0" fillId="6" borderId="0" xfId="0" applyFill="1"/>
    <xf numFmtId="0" fontId="0" fillId="0" borderId="0" xfId="0" applyAlignment="1">
      <alignment horizontal="right" vertical="center"/>
    </xf>
    <xf numFmtId="0" fontId="0" fillId="0" borderId="0" xfId="0" applyAlignment="1">
      <alignment vertical="center" wrapText="1"/>
    </xf>
    <xf numFmtId="0" fontId="1" fillId="0" borderId="0" xfId="0" applyFont="1" applyAlignment="1">
      <alignment vertical="center" wrapText="1"/>
    </xf>
    <xf numFmtId="0" fontId="0" fillId="0" borderId="3" xfId="0" applyBorder="1" applyAlignment="1">
      <alignment horizontal="right" wrapText="1"/>
    </xf>
    <xf numFmtId="0" fontId="1" fillId="0" borderId="2" xfId="0" applyFont="1" applyBorder="1" applyAlignment="1">
      <alignment horizontal="right" wrapText="1"/>
    </xf>
    <xf numFmtId="0" fontId="0" fillId="0" borderId="2" xfId="0" applyBorder="1" applyAlignment="1">
      <alignment wrapText="1"/>
    </xf>
    <xf numFmtId="0" fontId="0" fillId="0" borderId="0" xfId="0" applyAlignment="1">
      <alignment horizontal="center" vertical="center"/>
    </xf>
    <xf numFmtId="2" fontId="0" fillId="0" borderId="9" xfId="0" applyNumberFormat="1" applyBorder="1" applyAlignment="1">
      <alignment wrapText="1"/>
    </xf>
    <xf numFmtId="0" fontId="1" fillId="0" borderId="10" xfId="0" applyFont="1" applyBorder="1" applyAlignment="1">
      <alignment wrapText="1"/>
    </xf>
    <xf numFmtId="2" fontId="1" fillId="0" borderId="2" xfId="0" applyNumberFormat="1" applyFont="1" applyBorder="1" applyAlignment="1">
      <alignment wrapText="1"/>
    </xf>
    <xf numFmtId="2" fontId="0" fillId="0" borderId="0" xfId="0" applyNumberFormat="1"/>
    <xf numFmtId="2" fontId="1" fillId="0" borderId="0" xfId="0" applyNumberFormat="1" applyFont="1"/>
    <xf numFmtId="0" fontId="1" fillId="0" borderId="0" xfId="0" applyFont="1" applyAlignment="1">
      <alignment horizontal="right" vertical="center"/>
    </xf>
    <xf numFmtId="0" fontId="0" fillId="3" borderId="1" xfId="0" applyFill="1" applyBorder="1" applyAlignment="1">
      <alignment horizontal="center" vertical="center"/>
    </xf>
    <xf numFmtId="0" fontId="0" fillId="0" borderId="16" xfId="0" applyBorder="1"/>
    <xf numFmtId="0" fontId="5" fillId="0" borderId="17" xfId="0" applyFont="1" applyBorder="1" applyAlignment="1">
      <alignment wrapText="1"/>
    </xf>
    <xf numFmtId="0" fontId="5" fillId="0" borderId="0" xfId="0" applyFont="1" applyAlignment="1">
      <alignment wrapText="1"/>
    </xf>
    <xf numFmtId="0" fontId="0" fillId="0" borderId="3"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165" fontId="0" fillId="0" borderId="9" xfId="0" applyNumberFormat="1" applyBorder="1"/>
    <xf numFmtId="0" fontId="0" fillId="0" borderId="10" xfId="0" applyBorder="1"/>
    <xf numFmtId="0" fontId="1" fillId="5" borderId="1" xfId="0" applyFont="1" applyFill="1" applyBorder="1" applyAlignment="1">
      <alignment horizontal="center" vertical="center" wrapText="1"/>
    </xf>
    <xf numFmtId="0" fontId="2" fillId="0" borderId="0" xfId="0" applyFont="1" applyAlignment="1">
      <alignment horizontal="left" vertical="center" wrapText="1"/>
    </xf>
    <xf numFmtId="0" fontId="1" fillId="5" borderId="1" xfId="0" applyFont="1" applyFill="1" applyBorder="1" applyAlignment="1">
      <alignment horizontal="center" vertical="center"/>
    </xf>
    <xf numFmtId="0" fontId="0" fillId="6" borderId="0" xfId="0" applyFill="1" applyAlignment="1">
      <alignment horizontal="right"/>
    </xf>
    <xf numFmtId="0" fontId="0" fillId="0" borderId="17" xfId="0" applyBorder="1" applyAlignment="1">
      <alignment horizontal="left" wrapText="1"/>
    </xf>
    <xf numFmtId="0" fontId="0" fillId="0" borderId="0" xfId="0" applyAlignment="1">
      <alignment horizontal="left" wrapText="1"/>
    </xf>
    <xf numFmtId="2" fontId="1" fillId="0" borderId="0" xfId="0" applyNumberFormat="1" applyFont="1" applyAlignment="1">
      <alignment wrapText="1"/>
    </xf>
    <xf numFmtId="0" fontId="1" fillId="0" borderId="0" xfId="0" applyFont="1" applyAlignment="1">
      <alignment horizontal="right" wrapText="1"/>
    </xf>
    <xf numFmtId="0" fontId="0" fillId="0" borderId="1" xfId="0" applyBorder="1" applyAlignment="1">
      <alignment horizontal="center" wrapText="1"/>
    </xf>
    <xf numFmtId="2" fontId="0" fillId="0" borderId="1" xfId="0" applyNumberFormat="1" applyBorder="1" applyAlignment="1">
      <alignment horizontal="center" wrapText="1"/>
    </xf>
    <xf numFmtId="0" fontId="1" fillId="0" borderId="0" xfId="0" applyFont="1" applyAlignment="1">
      <alignment horizontal="left"/>
    </xf>
    <xf numFmtId="0" fontId="0" fillId="0" borderId="5" xfId="0" applyBorder="1" applyAlignment="1">
      <alignment horizontal="right" wrapText="1"/>
    </xf>
    <xf numFmtId="0" fontId="1" fillId="0" borderId="0" xfId="0" applyFont="1" applyAlignment="1">
      <alignment horizontal="left" wrapText="1"/>
    </xf>
    <xf numFmtId="0" fontId="1" fillId="0" borderId="4" xfId="0" applyFont="1" applyBorder="1" applyAlignment="1">
      <alignment horizontal="left" wrapText="1"/>
    </xf>
    <xf numFmtId="2" fontId="0" fillId="0" borderId="3" xfId="0" applyNumberFormat="1" applyBorder="1" applyAlignment="1">
      <alignment horizontal="center" wrapText="1"/>
    </xf>
    <xf numFmtId="2" fontId="0" fillId="0" borderId="3" xfId="0" applyNumberFormat="1" applyBorder="1" applyAlignment="1">
      <alignment horizontal="right" wrapText="1"/>
    </xf>
    <xf numFmtId="0" fontId="1" fillId="5" borderId="3" xfId="0" applyFont="1" applyFill="1" applyBorder="1" applyAlignment="1">
      <alignment vertical="center" wrapText="1"/>
    </xf>
    <xf numFmtId="0" fontId="0" fillId="0" borderId="17" xfId="0" applyBorder="1" applyAlignment="1">
      <alignment horizontal="right" wrapText="1"/>
    </xf>
    <xf numFmtId="0" fontId="1" fillId="0" borderId="10" xfId="0" applyFont="1" applyBorder="1" applyAlignment="1">
      <alignment horizontal="left"/>
    </xf>
    <xf numFmtId="2" fontId="0" fillId="0" borderId="0" xfId="0" applyNumberFormat="1" applyAlignment="1">
      <alignment horizontal="center" wrapText="1"/>
    </xf>
    <xf numFmtId="2" fontId="0" fillId="0" borderId="0" xfId="0" applyNumberFormat="1" applyAlignment="1">
      <alignment horizontal="right" wrapText="1"/>
    </xf>
    <xf numFmtId="0" fontId="1" fillId="0" borderId="15" xfId="0" applyFont="1" applyBorder="1" applyAlignment="1">
      <alignment wrapText="1"/>
    </xf>
    <xf numFmtId="2" fontId="0" fillId="0" borderId="17" xfId="0" applyNumberFormat="1" applyBorder="1" applyAlignment="1">
      <alignment wrapText="1"/>
    </xf>
    <xf numFmtId="0" fontId="0" fillId="0" borderId="16" xfId="0" applyBorder="1" applyAlignment="1">
      <alignment wrapText="1"/>
    </xf>
    <xf numFmtId="0" fontId="1" fillId="0" borderId="12" xfId="0" applyFont="1" applyBorder="1" applyAlignment="1">
      <alignment wrapText="1"/>
    </xf>
    <xf numFmtId="0" fontId="1" fillId="0" borderId="13" xfId="0" applyFont="1" applyBorder="1" applyAlignment="1">
      <alignment wrapText="1"/>
    </xf>
    <xf numFmtId="0" fontId="1" fillId="0" borderId="14" xfId="0" applyFont="1" applyBorder="1" applyAlignment="1">
      <alignment wrapText="1"/>
    </xf>
    <xf numFmtId="2" fontId="1" fillId="0" borderId="13" xfId="0" applyNumberFormat="1" applyFont="1" applyBorder="1" applyAlignment="1">
      <alignment wrapText="1"/>
    </xf>
    <xf numFmtId="2" fontId="7" fillId="0" borderId="13" xfId="0" applyNumberFormat="1" applyFont="1" applyBorder="1"/>
    <xf numFmtId="0" fontId="0" fillId="0" borderId="8" xfId="0" applyBorder="1" applyAlignment="1">
      <alignment wrapText="1"/>
    </xf>
    <xf numFmtId="0" fontId="1" fillId="0" borderId="20" xfId="0" applyFont="1" applyBorder="1"/>
    <xf numFmtId="0" fontId="0" fillId="6" borderId="0" xfId="0" applyFill="1" applyAlignment="1">
      <alignment horizontal="left"/>
    </xf>
    <xf numFmtId="2" fontId="0" fillId="6" borderId="0" xfId="0" applyNumberFormat="1" applyFill="1"/>
    <xf numFmtId="0" fontId="0" fillId="6" borderId="0" xfId="0" quotePrefix="1" applyFill="1"/>
    <xf numFmtId="0" fontId="0" fillId="0" borderId="0" xfId="0" applyAlignment="1">
      <alignment horizontal="center"/>
    </xf>
    <xf numFmtId="0" fontId="1" fillId="0" borderId="0" xfId="0" applyFont="1" applyAlignment="1">
      <alignment horizontal="center"/>
    </xf>
    <xf numFmtId="0" fontId="4" fillId="0" borderId="0" xfId="0" applyFont="1" applyAlignment="1">
      <alignment horizontal="center" wrapText="1"/>
    </xf>
    <xf numFmtId="0" fontId="10" fillId="0" borderId="0" xfId="0" applyFont="1" applyAlignment="1">
      <alignment horizontal="center" wrapText="1"/>
    </xf>
    <xf numFmtId="0" fontId="2" fillId="0" borderId="0" xfId="0" applyFont="1" applyAlignment="1">
      <alignment wrapText="1"/>
    </xf>
    <xf numFmtId="0" fontId="6" fillId="0" borderId="23" xfId="0" applyFont="1" applyBorder="1" applyAlignment="1">
      <alignment wrapText="1"/>
    </xf>
    <xf numFmtId="0" fontId="14" fillId="6" borderId="23" xfId="0" applyFont="1" applyFill="1" applyBorder="1" applyAlignment="1">
      <alignment wrapText="1"/>
    </xf>
    <xf numFmtId="0" fontId="6" fillId="0" borderId="24" xfId="0" applyFont="1" applyBorder="1" applyAlignment="1">
      <alignment wrapText="1"/>
    </xf>
    <xf numFmtId="0" fontId="14" fillId="6" borderId="24" xfId="0" applyFont="1" applyFill="1" applyBorder="1" applyAlignment="1">
      <alignment wrapText="1"/>
    </xf>
    <xf numFmtId="0" fontId="6" fillId="0" borderId="0" xfId="0" applyFont="1" applyAlignment="1">
      <alignment horizontal="center"/>
    </xf>
    <xf numFmtId="0" fontId="6" fillId="0" borderId="0" xfId="0" applyFont="1" applyAlignment="1">
      <alignment wrapText="1"/>
    </xf>
    <xf numFmtId="0" fontId="17" fillId="0" borderId="22" xfId="0" applyFont="1" applyBorder="1" applyAlignment="1">
      <alignment horizontal="left" wrapText="1"/>
    </xf>
    <xf numFmtId="0" fontId="18" fillId="0" borderId="0" xfId="0" applyFont="1" applyAlignment="1">
      <alignment wrapText="1"/>
    </xf>
    <xf numFmtId="0" fontId="19" fillId="0" borderId="0" xfId="3" applyFont="1" applyAlignment="1">
      <alignment wrapText="1"/>
    </xf>
    <xf numFmtId="0" fontId="9" fillId="3" borderId="0" xfId="0" applyFont="1" applyFill="1" applyAlignment="1">
      <alignment horizontal="left" vertical="center"/>
    </xf>
    <xf numFmtId="0" fontId="12" fillId="3" borderId="0" xfId="0" applyFont="1" applyFill="1" applyAlignment="1">
      <alignment horizontal="left" vertical="center" wrapText="1"/>
    </xf>
    <xf numFmtId="0" fontId="20" fillId="3" borderId="0" xfId="0" applyFont="1" applyFill="1" applyAlignment="1">
      <alignment horizontal="left" vertical="center" wrapText="1"/>
    </xf>
    <xf numFmtId="0" fontId="20" fillId="0" borderId="0" xfId="0" applyFont="1" applyAlignment="1">
      <alignment wrapText="1"/>
    </xf>
    <xf numFmtId="0" fontId="21" fillId="0" borderId="21" xfId="0" applyFont="1" applyBorder="1" applyAlignment="1">
      <alignment horizontal="center" wrapText="1"/>
    </xf>
    <xf numFmtId="0" fontId="16" fillId="0" borderId="0" xfId="0" applyFont="1" applyAlignment="1">
      <alignment horizontal="left" vertical="top" wrapText="1"/>
    </xf>
    <xf numFmtId="0" fontId="6" fillId="0" borderId="0" xfId="0" applyFont="1" applyAlignment="1">
      <alignment vertical="top" wrapText="1"/>
    </xf>
    <xf numFmtId="0" fontId="15" fillId="0" borderId="0" xfId="0" applyFont="1" applyAlignment="1">
      <alignment horizontal="left" vertical="top" wrapText="1"/>
    </xf>
    <xf numFmtId="0" fontId="22" fillId="0" borderId="23" xfId="0" applyFont="1" applyBorder="1" applyAlignment="1">
      <alignment horizontal="left"/>
    </xf>
    <xf numFmtId="0" fontId="22" fillId="0" borderId="24" xfId="0" applyFont="1" applyBorder="1" applyAlignment="1">
      <alignment horizontal="left"/>
    </xf>
    <xf numFmtId="0" fontId="1" fillId="0" borderId="0" xfId="0" applyFont="1" applyAlignment="1">
      <alignment horizont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2" xfId="0" applyFont="1" applyFill="1" applyBorder="1" applyAlignment="1">
      <alignment horizontal="center" vertical="center" wrapText="1"/>
    </xf>
    <xf numFmtId="164" fontId="1" fillId="0" borderId="1" xfId="1" applyNumberFormat="1" applyFont="1" applyFill="1" applyBorder="1" applyAlignment="1">
      <alignment horizontal="center"/>
    </xf>
    <xf numFmtId="164" fontId="0" fillId="3" borderId="5" xfId="1" applyNumberFormat="1" applyFont="1" applyFill="1" applyBorder="1" applyAlignment="1">
      <alignment horizontal="right"/>
    </xf>
    <xf numFmtId="164" fontId="0" fillId="3" borderId="8" xfId="1" applyNumberFormat="1" applyFont="1" applyFill="1" applyBorder="1" applyAlignment="1">
      <alignment horizontal="right"/>
    </xf>
    <xf numFmtId="164" fontId="0" fillId="3" borderId="6" xfId="1" applyNumberFormat="1" applyFont="1" applyFill="1" applyBorder="1" applyAlignment="1">
      <alignment horizontal="right"/>
    </xf>
    <xf numFmtId="0" fontId="0" fillId="0" borderId="8" xfId="0" applyBorder="1" applyAlignment="1">
      <alignment horizontal="left" wrapText="1"/>
    </xf>
    <xf numFmtId="165" fontId="0" fillId="0" borderId="9" xfId="0" applyNumberFormat="1" applyBorder="1" applyAlignment="1">
      <alignment horizontal="center"/>
    </xf>
    <xf numFmtId="165" fontId="0" fillId="0" borderId="18" xfId="0" applyNumberFormat="1" applyBorder="1" applyAlignment="1">
      <alignment horizontal="center"/>
    </xf>
    <xf numFmtId="0" fontId="0" fillId="0" borderId="0" xfId="0" applyAlignment="1">
      <alignment horizontal="left" wrapText="1"/>
    </xf>
    <xf numFmtId="0" fontId="1" fillId="5" borderId="0" xfId="0" applyFont="1" applyFill="1" applyAlignment="1">
      <alignment horizontal="center" vertical="center"/>
    </xf>
    <xf numFmtId="0" fontId="1" fillId="7" borderId="0" xfId="0" applyFont="1" applyFill="1" applyAlignment="1">
      <alignment horizontal="left"/>
    </xf>
    <xf numFmtId="0" fontId="1" fillId="5" borderId="1" xfId="0" applyFont="1" applyFill="1" applyBorder="1" applyAlignment="1">
      <alignment horizontal="center" vertical="center"/>
    </xf>
    <xf numFmtId="0" fontId="2" fillId="0" borderId="0" xfId="0" applyFont="1" applyAlignment="1">
      <alignment horizontal="left" vertical="center" wrapText="1"/>
    </xf>
    <xf numFmtId="0" fontId="1" fillId="0" borderId="3" xfId="0" applyFont="1" applyBorder="1" applyAlignment="1">
      <alignment horizontal="right"/>
    </xf>
    <xf numFmtId="0" fontId="1" fillId="0" borderId="2" xfId="0" applyFont="1" applyBorder="1" applyAlignment="1">
      <alignment horizontal="right"/>
    </xf>
    <xf numFmtId="0" fontId="1" fillId="0" borderId="4" xfId="0" applyFont="1" applyBorder="1" applyAlignment="1">
      <alignment horizontal="right"/>
    </xf>
    <xf numFmtId="0" fontId="1" fillId="0" borderId="11" xfId="0" applyFont="1" applyBorder="1" applyAlignment="1">
      <alignment horizontal="right"/>
    </xf>
    <xf numFmtId="0" fontId="1" fillId="0" borderId="19" xfId="0" applyFont="1" applyBorder="1" applyAlignment="1">
      <alignment horizontal="right"/>
    </xf>
    <xf numFmtId="0" fontId="1" fillId="0" borderId="13" xfId="0" applyFont="1" applyBorder="1" applyAlignment="1">
      <alignment horizontal="right"/>
    </xf>
    <xf numFmtId="0" fontId="1" fillId="0" borderId="14" xfId="0" applyFont="1" applyBorder="1" applyAlignment="1">
      <alignment horizontal="right"/>
    </xf>
    <xf numFmtId="0" fontId="1" fillId="0" borderId="15" xfId="0" applyFont="1" applyBorder="1" applyAlignment="1">
      <alignment horizontal="right"/>
    </xf>
    <xf numFmtId="0" fontId="0" fillId="2" borderId="17" xfId="0" applyFill="1" applyBorder="1" applyAlignment="1">
      <alignment horizontal="left" wrapText="1"/>
    </xf>
    <xf numFmtId="0" fontId="0" fillId="2" borderId="0" xfId="0" applyFill="1" applyAlignment="1">
      <alignment horizontal="left" wrapText="1"/>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4" xfId="0" applyFont="1" applyFill="1" applyBorder="1" applyAlignment="1">
      <alignment horizontal="center" vertical="center"/>
    </xf>
    <xf numFmtId="0" fontId="5" fillId="0" borderId="17" xfId="0" applyFont="1" applyBorder="1" applyAlignment="1">
      <alignment horizontal="left" wrapText="1"/>
    </xf>
    <xf numFmtId="0" fontId="5" fillId="0" borderId="0" xfId="0" applyFont="1" applyAlignment="1">
      <alignment horizontal="left" wrapText="1"/>
    </xf>
    <xf numFmtId="0" fontId="1" fillId="5" borderId="1" xfId="0" applyFont="1" applyFill="1" applyBorder="1" applyAlignment="1">
      <alignment horizontal="center" vertical="center" wrapText="1"/>
    </xf>
    <xf numFmtId="0" fontId="2" fillId="0" borderId="8" xfId="0" applyFont="1" applyBorder="1" applyAlignment="1">
      <alignment horizontal="left" wrapText="1"/>
    </xf>
    <xf numFmtId="0" fontId="0" fillId="0" borderId="17" xfId="0" applyBorder="1" applyAlignment="1">
      <alignment horizontal="left" wrapText="1"/>
    </xf>
    <xf numFmtId="0" fontId="0" fillId="2" borderId="0" xfId="0" quotePrefix="1" applyFill="1" applyAlignment="1">
      <alignment horizontal="center" wrapText="1"/>
    </xf>
    <xf numFmtId="0" fontId="1" fillId="0" borderId="0" xfId="0" applyFont="1" applyAlignment="1">
      <alignment horizontal="right" wrapText="1"/>
    </xf>
  </cellXfs>
  <cellStyles count="4">
    <cellStyle name="Comma" xfId="1" builtinId="3"/>
    <cellStyle name="Comma 2" xfId="2" xr:uid="{00000000-0005-0000-0000-000001000000}"/>
    <cellStyle name="Hyperlink" xfId="3" builtinId="8"/>
    <cellStyle name="Normal" xfId="0" builtinId="0"/>
  </cellStyles>
  <dxfs count="0"/>
  <tableStyles count="0" defaultTableStyle="TableStyleMedium2" defaultPivotStyle="PivotStyleLight16"/>
  <colors>
    <mruColors>
      <color rgb="FF0081C4"/>
      <color rgb="FFFFCCFF"/>
      <color rgb="FFCC66FF"/>
      <color rgb="FF66CCFF"/>
      <color rgb="FF3366FF"/>
      <color rgb="FF003300"/>
      <color rgb="FF00CC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45912</xdr:rowOff>
    </xdr:from>
    <xdr:to>
      <xdr:col>3</xdr:col>
      <xdr:colOff>198782</xdr:colOff>
      <xdr:row>1</xdr:row>
      <xdr:rowOff>1395642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45912"/>
          <a:ext cx="10745304" cy="226633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richmond.ca/businessrecycl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Q89"/>
  <sheetViews>
    <sheetView topLeftCell="A49" zoomScale="70" zoomScaleNormal="70" zoomScaleSheetLayoutView="70" workbookViewId="0">
      <selection sqref="A1:R95"/>
    </sheetView>
  </sheetViews>
  <sheetFormatPr baseColWidth="10" defaultColWidth="8.83203125" defaultRowHeight="15" x14ac:dyDescent="0.2"/>
  <cols>
    <col min="1" max="1" width="45.1640625" customWidth="1"/>
    <col min="2" max="2" width="11.6640625" customWidth="1"/>
    <col min="3" max="3" width="12.6640625" customWidth="1"/>
    <col min="4" max="4" width="12.5" customWidth="1"/>
    <col min="5" max="5" width="10.33203125" customWidth="1"/>
    <col min="6" max="6" width="10.6640625" customWidth="1"/>
    <col min="10" max="10" width="7.33203125" bestFit="1" customWidth="1"/>
    <col min="11" max="11" width="3.83203125" bestFit="1" customWidth="1"/>
    <col min="12" max="12" width="7.1640625" bestFit="1" customWidth="1"/>
    <col min="13" max="13" width="10.6640625" customWidth="1"/>
  </cols>
  <sheetData>
    <row r="1" spans="1:17" x14ac:dyDescent="0.2">
      <c r="A1" s="3" t="s">
        <v>31</v>
      </c>
      <c r="E1" s="7"/>
      <c r="F1" s="8" t="s">
        <v>28</v>
      </c>
    </row>
    <row r="2" spans="1:17" x14ac:dyDescent="0.2">
      <c r="O2" s="31" t="s">
        <v>27</v>
      </c>
      <c r="P2" s="32"/>
      <c r="Q2" s="32"/>
    </row>
    <row r="3" spans="1:17" x14ac:dyDescent="0.2">
      <c r="A3" s="9" t="s">
        <v>82</v>
      </c>
      <c r="B3" s="9"/>
      <c r="C3" s="10"/>
      <c r="D3" s="10"/>
      <c r="E3" s="10"/>
      <c r="F3" s="10"/>
      <c r="G3" s="10"/>
      <c r="H3" s="10"/>
      <c r="I3" s="10"/>
      <c r="J3" s="10"/>
      <c r="K3" s="10"/>
      <c r="L3" s="10"/>
      <c r="M3" s="10"/>
      <c r="O3" s="32" t="s">
        <v>8</v>
      </c>
      <c r="P3" s="32" t="s">
        <v>23</v>
      </c>
      <c r="Q3" s="32"/>
    </row>
    <row r="4" spans="1:17" x14ac:dyDescent="0.2">
      <c r="A4" s="3"/>
      <c r="B4" s="3"/>
      <c r="O4" s="32" t="s">
        <v>10</v>
      </c>
      <c r="P4" s="32">
        <v>0.74</v>
      </c>
      <c r="Q4" s="32" t="s">
        <v>73</v>
      </c>
    </row>
    <row r="5" spans="1:17" ht="29" customHeight="1" x14ac:dyDescent="0.2">
      <c r="B5" s="55" t="s">
        <v>66</v>
      </c>
      <c r="C5" s="55" t="s">
        <v>67</v>
      </c>
      <c r="D5" s="55" t="s">
        <v>68</v>
      </c>
      <c r="E5" s="55" t="s">
        <v>34</v>
      </c>
      <c r="F5" s="114" t="s">
        <v>35</v>
      </c>
      <c r="G5" s="115"/>
      <c r="J5" s="114" t="s">
        <v>61</v>
      </c>
      <c r="K5" s="116"/>
      <c r="L5" s="116"/>
      <c r="M5" s="115"/>
      <c r="O5" s="32" t="s">
        <v>51</v>
      </c>
      <c r="P5" s="32">
        <v>0.12</v>
      </c>
      <c r="Q5" s="32" t="s">
        <v>24</v>
      </c>
    </row>
    <row r="6" spans="1:17" x14ac:dyDescent="0.2">
      <c r="A6" s="3" t="s">
        <v>44</v>
      </c>
      <c r="B6" s="21">
        <v>0</v>
      </c>
      <c r="C6" s="21">
        <v>0</v>
      </c>
      <c r="D6" s="21">
        <v>0</v>
      </c>
      <c r="E6" s="21">
        <v>0</v>
      </c>
      <c r="F6" s="117">
        <f>SUM(B6:E6)</f>
        <v>0</v>
      </c>
      <c r="G6" s="117"/>
      <c r="J6" s="118">
        <v>1000</v>
      </c>
      <c r="K6" s="119"/>
      <c r="L6" s="120"/>
      <c r="M6" s="47" t="s">
        <v>55</v>
      </c>
      <c r="O6" s="32" t="s">
        <v>11</v>
      </c>
      <c r="P6" s="32">
        <v>1.04</v>
      </c>
      <c r="Q6" s="32" t="s">
        <v>73</v>
      </c>
    </row>
    <row r="7" spans="1:17" ht="42" customHeight="1" x14ac:dyDescent="0.2">
      <c r="A7" s="3"/>
      <c r="B7" s="121" t="s">
        <v>59</v>
      </c>
      <c r="C7" s="121"/>
      <c r="D7" s="121"/>
      <c r="E7" s="121"/>
      <c r="F7" s="121"/>
      <c r="G7" s="121"/>
      <c r="J7" s="122">
        <f>J6*0.092903</f>
        <v>92.903000000000006</v>
      </c>
      <c r="K7" s="123"/>
      <c r="L7" s="123"/>
      <c r="M7" s="54" t="s">
        <v>24</v>
      </c>
      <c r="O7" s="32" t="s">
        <v>12</v>
      </c>
      <c r="P7" s="32">
        <v>1.37</v>
      </c>
      <c r="Q7" s="32" t="s">
        <v>73</v>
      </c>
    </row>
    <row r="8" spans="1:17" x14ac:dyDescent="0.2">
      <c r="C8" s="3"/>
      <c r="O8" s="32" t="s">
        <v>65</v>
      </c>
      <c r="P8" s="32">
        <v>4.41</v>
      </c>
      <c r="Q8" s="32" t="s">
        <v>73</v>
      </c>
    </row>
    <row r="9" spans="1:17" x14ac:dyDescent="0.2">
      <c r="A9" s="3" t="s">
        <v>38</v>
      </c>
      <c r="B9" s="21">
        <v>0</v>
      </c>
      <c r="C9" t="s">
        <v>39</v>
      </c>
      <c r="O9" s="32" t="s">
        <v>78</v>
      </c>
      <c r="P9" s="58" t="s">
        <v>18</v>
      </c>
      <c r="Q9" s="32" t="s">
        <v>73</v>
      </c>
    </row>
    <row r="10" spans="1:17" ht="32" customHeight="1" x14ac:dyDescent="0.2">
      <c r="A10" s="3"/>
      <c r="B10" s="124" t="s">
        <v>60</v>
      </c>
      <c r="C10" s="124"/>
      <c r="D10" s="124"/>
      <c r="E10" s="124"/>
      <c r="F10" s="124"/>
      <c r="G10" s="124"/>
      <c r="H10" s="124"/>
      <c r="O10" s="32" t="s">
        <v>76</v>
      </c>
      <c r="P10" s="32">
        <v>5.64</v>
      </c>
      <c r="Q10" s="32" t="s">
        <v>73</v>
      </c>
    </row>
    <row r="11" spans="1:17" ht="29" customHeight="1" x14ac:dyDescent="0.2">
      <c r="A11" s="3"/>
      <c r="B11" s="60"/>
      <c r="C11" s="60"/>
      <c r="D11" s="60"/>
      <c r="E11" s="60"/>
      <c r="F11" s="60"/>
      <c r="G11" s="60"/>
      <c r="H11" s="60"/>
      <c r="O11" s="32" t="s">
        <v>77</v>
      </c>
      <c r="P11" s="32">
        <v>6.91</v>
      </c>
      <c r="Q11" s="32" t="s">
        <v>73</v>
      </c>
    </row>
    <row r="12" spans="1:17" ht="29" customHeight="1" x14ac:dyDescent="0.2">
      <c r="A12" s="125" t="s">
        <v>50</v>
      </c>
      <c r="B12" s="125"/>
      <c r="C12" s="125"/>
      <c r="D12" s="125"/>
      <c r="E12" s="125"/>
      <c r="F12" s="125"/>
      <c r="G12" s="125"/>
      <c r="H12" s="125"/>
      <c r="I12" s="125"/>
      <c r="J12" s="125"/>
      <c r="K12" s="125"/>
      <c r="L12" s="125"/>
      <c r="M12" s="125"/>
      <c r="O12" s="32"/>
      <c r="P12" s="32"/>
      <c r="Q12" s="32"/>
    </row>
    <row r="13" spans="1:17" x14ac:dyDescent="0.2">
      <c r="A13" s="126" t="s">
        <v>80</v>
      </c>
      <c r="B13" s="126"/>
      <c r="C13" s="126"/>
      <c r="D13" s="126"/>
      <c r="E13" s="126"/>
      <c r="F13" s="126"/>
      <c r="G13" s="126"/>
      <c r="H13" s="126"/>
      <c r="I13" s="126"/>
      <c r="J13" s="126"/>
      <c r="K13" s="126"/>
      <c r="L13" s="126"/>
      <c r="M13" s="126"/>
      <c r="O13" s="32" t="s">
        <v>72</v>
      </c>
      <c r="P13" s="32">
        <v>0.47</v>
      </c>
      <c r="Q13" s="32" t="s">
        <v>73</v>
      </c>
    </row>
    <row r="14" spans="1:17" ht="43.25" customHeight="1" x14ac:dyDescent="0.2">
      <c r="A14" s="3"/>
      <c r="B14" s="55" t="s">
        <v>66</v>
      </c>
      <c r="C14" s="55" t="s">
        <v>67</v>
      </c>
      <c r="D14" s="55" t="s">
        <v>68</v>
      </c>
      <c r="E14" s="55" t="s">
        <v>34</v>
      </c>
      <c r="F14" s="71" t="s">
        <v>38</v>
      </c>
      <c r="G14" s="114" t="s">
        <v>35</v>
      </c>
      <c r="H14" s="115"/>
      <c r="I14" s="35"/>
      <c r="O14" s="32"/>
      <c r="P14" s="32"/>
      <c r="Q14" s="32"/>
    </row>
    <row r="15" spans="1:17" x14ac:dyDescent="0.2">
      <c r="A15" s="28"/>
      <c r="B15" s="63">
        <f>J43</f>
        <v>0</v>
      </c>
      <c r="C15" s="63">
        <f>J54</f>
        <v>0</v>
      </c>
      <c r="D15" s="63">
        <f>J66</f>
        <v>0</v>
      </c>
      <c r="E15" s="63">
        <f>J77</f>
        <v>0</v>
      </c>
      <c r="F15" s="66">
        <f>J89</f>
        <v>0</v>
      </c>
      <c r="G15" s="72">
        <f>SUM(B15:F15)</f>
        <v>0</v>
      </c>
      <c r="H15" s="73" t="s">
        <v>81</v>
      </c>
      <c r="I15" s="65"/>
      <c r="O15" s="32"/>
      <c r="P15" s="32"/>
      <c r="Q15" s="32"/>
    </row>
    <row r="16" spans="1:17" ht="16" x14ac:dyDescent="0.2">
      <c r="A16" s="62"/>
      <c r="B16" s="64">
        <f>L43</f>
        <v>0</v>
      </c>
      <c r="C16" s="64">
        <f>L54</f>
        <v>0</v>
      </c>
      <c r="D16" s="64">
        <f>L66</f>
        <v>0</v>
      </c>
      <c r="E16" s="69">
        <f>L77</f>
        <v>0</v>
      </c>
      <c r="F16" s="70">
        <f>L89</f>
        <v>0</v>
      </c>
      <c r="G16" s="70">
        <f>SUM(B16:F16)</f>
        <v>0</v>
      </c>
      <c r="H16" s="68" t="s">
        <v>55</v>
      </c>
      <c r="I16" s="67"/>
    </row>
    <row r="17" spans="1:13" x14ac:dyDescent="0.2">
      <c r="A17" s="62"/>
      <c r="B17" s="74"/>
      <c r="C17" s="74"/>
      <c r="D17" s="74"/>
      <c r="E17" s="74"/>
      <c r="F17" s="75"/>
      <c r="G17" s="75"/>
      <c r="H17" s="67"/>
      <c r="I17" s="67"/>
    </row>
    <row r="18" spans="1:13" x14ac:dyDescent="0.2">
      <c r="A18" s="126" t="s">
        <v>83</v>
      </c>
      <c r="B18" s="126"/>
      <c r="C18" s="126"/>
      <c r="D18" s="126"/>
      <c r="E18" s="126"/>
      <c r="F18" s="126"/>
      <c r="G18" s="126"/>
      <c r="H18" s="126"/>
      <c r="I18" s="126"/>
      <c r="J18" s="126"/>
      <c r="K18" s="126"/>
      <c r="L18" s="126"/>
      <c r="M18" s="126"/>
    </row>
    <row r="19" spans="1:13" ht="32" x14ac:dyDescent="0.2">
      <c r="A19" s="4"/>
      <c r="B19" s="3"/>
      <c r="C19" s="55" t="s">
        <v>0</v>
      </c>
      <c r="D19" s="57" t="s">
        <v>8</v>
      </c>
      <c r="E19" s="74"/>
      <c r="F19" s="75"/>
      <c r="G19" s="75"/>
      <c r="H19" s="67"/>
      <c r="I19" s="67"/>
    </row>
    <row r="20" spans="1:13" ht="16" x14ac:dyDescent="0.2">
      <c r="A20" s="13" t="s">
        <v>36</v>
      </c>
      <c r="B20" s="14"/>
      <c r="C20" s="30"/>
      <c r="D20" s="30" t="s">
        <v>12</v>
      </c>
      <c r="E20" s="74"/>
      <c r="F20" s="75"/>
      <c r="G20" s="75"/>
      <c r="H20" s="67"/>
      <c r="I20" s="67"/>
    </row>
    <row r="21" spans="1:13" ht="16" x14ac:dyDescent="0.2">
      <c r="A21" s="13" t="s">
        <v>57</v>
      </c>
      <c r="B21" s="14"/>
      <c r="C21" s="30"/>
      <c r="D21" s="30" t="s">
        <v>11</v>
      </c>
      <c r="E21" s="74"/>
      <c r="F21" s="75"/>
      <c r="G21" s="75"/>
      <c r="H21" s="67"/>
      <c r="I21" s="67"/>
    </row>
    <row r="22" spans="1:13" ht="16" x14ac:dyDescent="0.2">
      <c r="A22" s="5" t="s">
        <v>37</v>
      </c>
      <c r="B22" s="27"/>
      <c r="C22" s="30"/>
      <c r="D22" s="30" t="s">
        <v>12</v>
      </c>
      <c r="E22" s="74"/>
      <c r="F22" s="75"/>
      <c r="G22" s="75"/>
      <c r="H22" s="67"/>
      <c r="I22" s="67"/>
    </row>
    <row r="23" spans="1:13" ht="16" x14ac:dyDescent="0.2">
      <c r="A23" s="25" t="s">
        <v>40</v>
      </c>
      <c r="B23" s="26"/>
      <c r="C23" s="30"/>
      <c r="D23" s="30" t="s">
        <v>10</v>
      </c>
      <c r="E23" s="74"/>
      <c r="F23" s="75"/>
      <c r="G23" s="75"/>
      <c r="H23" s="67"/>
      <c r="I23" s="67"/>
    </row>
    <row r="24" spans="1:13" ht="16" x14ac:dyDescent="0.2">
      <c r="A24" s="5" t="s">
        <v>41</v>
      </c>
      <c r="B24" s="6"/>
      <c r="C24" s="30"/>
      <c r="D24" s="30" t="s">
        <v>11</v>
      </c>
      <c r="E24" s="74"/>
      <c r="F24" s="75"/>
      <c r="G24" s="75"/>
      <c r="H24" s="67"/>
      <c r="I24" s="67"/>
    </row>
    <row r="25" spans="1:13" ht="16" x14ac:dyDescent="0.2">
      <c r="A25" s="5" t="s">
        <v>42</v>
      </c>
      <c r="B25" s="6"/>
      <c r="C25" s="30"/>
      <c r="D25" s="30" t="e">
        <f>VLOOKUP($D$6,#REF!,7,TRUE)</f>
        <v>#REF!</v>
      </c>
      <c r="E25" s="74"/>
      <c r="F25" s="75"/>
      <c r="G25" s="75"/>
      <c r="H25" s="67"/>
      <c r="I25" s="67"/>
    </row>
    <row r="26" spans="1:13" ht="16" x14ac:dyDescent="0.2">
      <c r="A26" s="5" t="s">
        <v>43</v>
      </c>
      <c r="B26" s="6"/>
      <c r="C26" s="30"/>
      <c r="D26" s="30" t="e">
        <f>VLOOKUP($D$6,#REF!,9,TRUE)</f>
        <v>#REF!</v>
      </c>
      <c r="E26" s="74"/>
      <c r="F26" s="75"/>
      <c r="G26" s="75"/>
      <c r="H26" s="67"/>
      <c r="I26" s="67"/>
    </row>
    <row r="27" spans="1:13" ht="16" x14ac:dyDescent="0.2">
      <c r="A27" s="5" t="s">
        <v>45</v>
      </c>
      <c r="B27" s="6"/>
      <c r="C27" s="30"/>
      <c r="D27" s="30" t="s">
        <v>51</v>
      </c>
      <c r="E27" s="74"/>
      <c r="F27" s="75"/>
      <c r="G27" s="75"/>
      <c r="H27" s="67"/>
      <c r="I27" s="67"/>
    </row>
    <row r="28" spans="1:13" x14ac:dyDescent="0.2">
      <c r="A28" s="62"/>
      <c r="B28" s="74"/>
      <c r="C28" s="74"/>
      <c r="D28" s="74"/>
      <c r="E28" s="74"/>
      <c r="F28" s="75"/>
      <c r="G28" s="75"/>
      <c r="H28" s="67"/>
      <c r="I28" s="67"/>
    </row>
    <row r="29" spans="1:13" ht="29" customHeight="1" x14ac:dyDescent="0.2">
      <c r="A29" s="113" t="s">
        <v>62</v>
      </c>
      <c r="B29" s="113"/>
      <c r="C29" s="113"/>
      <c r="D29" s="113"/>
      <c r="E29" s="113"/>
      <c r="F29" s="113"/>
      <c r="G29" s="113"/>
      <c r="H29" s="113"/>
      <c r="I29" s="113"/>
      <c r="J29" s="113"/>
      <c r="K29" s="113"/>
      <c r="L29" s="113"/>
      <c r="M29" s="113"/>
    </row>
    <row r="31" spans="1:13" x14ac:dyDescent="0.2">
      <c r="A31" s="9" t="s">
        <v>79</v>
      </c>
      <c r="B31" s="9"/>
      <c r="C31" s="10"/>
      <c r="D31" s="10"/>
      <c r="E31" s="10"/>
      <c r="F31" s="10"/>
      <c r="G31" s="10"/>
      <c r="H31" s="10"/>
      <c r="I31" s="10"/>
      <c r="J31" s="10"/>
      <c r="K31" s="10"/>
      <c r="L31" s="10"/>
      <c r="M31" s="10"/>
    </row>
    <row r="32" spans="1:13" x14ac:dyDescent="0.2">
      <c r="A32" s="128"/>
      <c r="B32" s="128"/>
      <c r="C32" s="128"/>
      <c r="D32" s="128"/>
      <c r="E32" s="128"/>
      <c r="F32" s="128"/>
      <c r="G32" s="128"/>
      <c r="H32" s="128"/>
    </row>
    <row r="33" spans="1:13" x14ac:dyDescent="0.2">
      <c r="A33" s="4"/>
      <c r="B33" s="3"/>
    </row>
    <row r="34" spans="1:13" ht="16" x14ac:dyDescent="0.2">
      <c r="A34" s="22" t="str">
        <f>B5</f>
        <v>Office, Childcare &amp; School</v>
      </c>
      <c r="B34" s="23"/>
      <c r="C34" s="24"/>
      <c r="D34" s="24"/>
      <c r="E34" s="24"/>
      <c r="F34" s="24"/>
      <c r="G34" s="24"/>
      <c r="H34" s="24"/>
      <c r="I34" s="24"/>
      <c r="J34" s="24"/>
      <c r="K34" s="24"/>
      <c r="L34" s="24"/>
      <c r="M34" s="24"/>
    </row>
    <row r="35" spans="1:13" ht="32" x14ac:dyDescent="0.2">
      <c r="A35" s="4"/>
      <c r="B35" s="3"/>
      <c r="C35" s="55" t="s">
        <v>0</v>
      </c>
      <c r="D35" s="57" t="s">
        <v>8</v>
      </c>
      <c r="E35" s="127" t="s">
        <v>4</v>
      </c>
      <c r="F35" s="127"/>
      <c r="G35" s="127"/>
      <c r="H35" s="114" t="s">
        <v>29</v>
      </c>
      <c r="I35" s="115"/>
      <c r="J35" s="114" t="s">
        <v>25</v>
      </c>
      <c r="K35" s="116"/>
      <c r="L35" s="116"/>
      <c r="M35" s="115"/>
    </row>
    <row r="36" spans="1:13" ht="16" x14ac:dyDescent="0.2">
      <c r="A36" s="13" t="s">
        <v>36</v>
      </c>
      <c r="B36" s="14"/>
      <c r="C36" s="30"/>
      <c r="D36" s="30" t="s">
        <v>12</v>
      </c>
      <c r="E36" s="30" t="s">
        <v>20</v>
      </c>
      <c r="F36" s="30" t="s">
        <v>22</v>
      </c>
      <c r="G36" s="30" t="s">
        <v>21</v>
      </c>
      <c r="H36" s="5">
        <f t="shared" ref="H36:H42" si="0">LOOKUP(D36,O$4:O$28,P$4:P$28)</f>
        <v>1.37</v>
      </c>
      <c r="I36" s="6" t="s">
        <v>24</v>
      </c>
      <c r="J36" s="5">
        <f>IFERROR(C36*H36,0)</f>
        <v>0</v>
      </c>
      <c r="K36" s="6" t="s">
        <v>24</v>
      </c>
      <c r="L36" s="40">
        <f>J36*10.7639</f>
        <v>0</v>
      </c>
      <c r="M36" s="26" t="s">
        <v>55</v>
      </c>
    </row>
    <row r="37" spans="1:13" ht="16" x14ac:dyDescent="0.2">
      <c r="A37" s="13" t="s">
        <v>57</v>
      </c>
      <c r="B37" s="14"/>
      <c r="C37" s="30"/>
      <c r="D37" s="30" t="s">
        <v>11</v>
      </c>
      <c r="E37" s="30" t="s">
        <v>20</v>
      </c>
      <c r="F37" s="30" t="s">
        <v>22</v>
      </c>
      <c r="G37" s="30" t="s">
        <v>21</v>
      </c>
      <c r="H37" s="5">
        <f t="shared" si="0"/>
        <v>1.04</v>
      </c>
      <c r="I37" s="6" t="s">
        <v>24</v>
      </c>
      <c r="J37" s="5">
        <f t="shared" ref="J37:J42" si="1">IF(AND(C37&gt;0,ISNUMBER(H37)), C37*H37,0)</f>
        <v>0</v>
      </c>
      <c r="K37" s="6" t="s">
        <v>24</v>
      </c>
      <c r="L37" s="40">
        <f>J37*10.7639</f>
        <v>0</v>
      </c>
      <c r="M37" s="26" t="s">
        <v>55</v>
      </c>
    </row>
    <row r="38" spans="1:13" ht="16" x14ac:dyDescent="0.2">
      <c r="A38" s="5" t="s">
        <v>37</v>
      </c>
      <c r="B38" s="27"/>
      <c r="C38" s="30"/>
      <c r="D38" s="30" t="s">
        <v>12</v>
      </c>
      <c r="E38" s="30" t="s">
        <v>20</v>
      </c>
      <c r="F38" s="30" t="s">
        <v>22</v>
      </c>
      <c r="G38" s="30" t="s">
        <v>21</v>
      </c>
      <c r="H38" s="5">
        <f t="shared" si="0"/>
        <v>1.37</v>
      </c>
      <c r="I38" s="6" t="s">
        <v>24</v>
      </c>
      <c r="J38" s="5">
        <f t="shared" si="1"/>
        <v>0</v>
      </c>
      <c r="K38" s="6" t="s">
        <v>24</v>
      </c>
      <c r="L38" s="40">
        <f t="shared" ref="L38:L42" si="2">J38*10.7639</f>
        <v>0</v>
      </c>
      <c r="M38" s="26" t="s">
        <v>55</v>
      </c>
    </row>
    <row r="39" spans="1:13" ht="16" x14ac:dyDescent="0.2">
      <c r="A39" s="25" t="s">
        <v>40</v>
      </c>
      <c r="B39" s="26"/>
      <c r="C39" s="30"/>
      <c r="D39" s="30" t="s">
        <v>10</v>
      </c>
      <c r="E39" s="30" t="s">
        <v>20</v>
      </c>
      <c r="F39" s="30" t="s">
        <v>22</v>
      </c>
      <c r="G39" s="30" t="s">
        <v>21</v>
      </c>
      <c r="H39" s="5">
        <f t="shared" si="0"/>
        <v>0.74</v>
      </c>
      <c r="I39" s="6" t="s">
        <v>24</v>
      </c>
      <c r="J39" s="5">
        <f t="shared" si="1"/>
        <v>0</v>
      </c>
      <c r="K39" s="6" t="s">
        <v>24</v>
      </c>
      <c r="L39" s="40">
        <f t="shared" si="2"/>
        <v>0</v>
      </c>
      <c r="M39" s="26" t="s">
        <v>55</v>
      </c>
    </row>
    <row r="40" spans="1:13" ht="16" x14ac:dyDescent="0.2">
      <c r="A40" s="5" t="s">
        <v>41</v>
      </c>
      <c r="B40" s="6"/>
      <c r="C40" s="30"/>
      <c r="D40" s="30" t="s">
        <v>11</v>
      </c>
      <c r="E40" s="30" t="s">
        <v>20</v>
      </c>
      <c r="F40" s="30" t="s">
        <v>22</v>
      </c>
      <c r="G40" s="30" t="s">
        <v>21</v>
      </c>
      <c r="H40" s="5">
        <f t="shared" si="0"/>
        <v>1.04</v>
      </c>
      <c r="I40" s="6" t="s">
        <v>24</v>
      </c>
      <c r="J40" s="5">
        <f t="shared" si="1"/>
        <v>0</v>
      </c>
      <c r="K40" s="6" t="s">
        <v>24</v>
      </c>
      <c r="L40" s="40">
        <f t="shared" si="2"/>
        <v>0</v>
      </c>
      <c r="M40" s="26" t="s">
        <v>55</v>
      </c>
    </row>
    <row r="41" spans="1:13" ht="16" x14ac:dyDescent="0.2">
      <c r="A41" s="5" t="s">
        <v>42</v>
      </c>
      <c r="B41" s="6"/>
      <c r="C41" s="30"/>
      <c r="D41" s="30" t="e">
        <f>VLOOKUP($B$6,#REF!,7,TRUE)</f>
        <v>#REF!</v>
      </c>
      <c r="E41" s="30" t="s">
        <v>20</v>
      </c>
      <c r="F41" s="30" t="s">
        <v>22</v>
      </c>
      <c r="G41" s="30" t="s">
        <v>21</v>
      </c>
      <c r="H41" s="5" t="e">
        <f t="shared" si="0"/>
        <v>#REF!</v>
      </c>
      <c r="I41" s="6" t="s">
        <v>24</v>
      </c>
      <c r="J41" s="5">
        <f t="shared" si="1"/>
        <v>0</v>
      </c>
      <c r="K41" s="6" t="s">
        <v>24</v>
      </c>
      <c r="L41" s="40">
        <f t="shared" si="2"/>
        <v>0</v>
      </c>
      <c r="M41" s="26" t="s">
        <v>55</v>
      </c>
    </row>
    <row r="42" spans="1:13" ht="16" x14ac:dyDescent="0.2">
      <c r="A42" s="5" t="s">
        <v>43</v>
      </c>
      <c r="B42" s="6"/>
      <c r="C42" s="30"/>
      <c r="D42" s="30" t="e">
        <f>VLOOKUP($B$6,#REF!,9,TRUE)</f>
        <v>#REF!</v>
      </c>
      <c r="E42" s="30" t="s">
        <v>20</v>
      </c>
      <c r="F42" s="30" t="s">
        <v>22</v>
      </c>
      <c r="G42" s="30" t="s">
        <v>21</v>
      </c>
      <c r="H42" s="5" t="e">
        <f t="shared" si="0"/>
        <v>#REF!</v>
      </c>
      <c r="I42" s="6" t="s">
        <v>24</v>
      </c>
      <c r="J42" s="5">
        <f t="shared" si="1"/>
        <v>0</v>
      </c>
      <c r="K42" s="6" t="s">
        <v>24</v>
      </c>
      <c r="L42" s="40">
        <f t="shared" si="2"/>
        <v>0</v>
      </c>
      <c r="M42" s="26" t="s">
        <v>55</v>
      </c>
    </row>
    <row r="43" spans="1:13" ht="16" x14ac:dyDescent="0.2">
      <c r="A43" s="4"/>
      <c r="B43" s="3"/>
      <c r="C43" s="129" t="s">
        <v>26</v>
      </c>
      <c r="D43" s="130"/>
      <c r="E43" s="130"/>
      <c r="F43" s="130"/>
      <c r="G43" s="130"/>
      <c r="H43" s="130"/>
      <c r="I43" s="131"/>
      <c r="J43" s="5">
        <f>SUMIF(J36:J42,"&gt;0")</f>
        <v>0</v>
      </c>
      <c r="K43" s="20" t="s">
        <v>24</v>
      </c>
      <c r="L43" s="42">
        <f>SUM(L36:L42)</f>
        <v>0</v>
      </c>
      <c r="M43" s="41" t="s">
        <v>55</v>
      </c>
    </row>
    <row r="44" spans="1:13" x14ac:dyDescent="0.2">
      <c r="A44" s="4"/>
      <c r="B44" s="3"/>
      <c r="J44" s="4"/>
      <c r="K44" s="29"/>
      <c r="L44" s="61"/>
      <c r="M44" s="29"/>
    </row>
    <row r="45" spans="1:13" ht="16" x14ac:dyDescent="0.2">
      <c r="A45" s="22" t="str">
        <f>C5</f>
        <v>Retail, Light Industrial &amp; Warehouse</v>
      </c>
      <c r="B45" s="23"/>
      <c r="C45" s="24"/>
      <c r="D45" s="24"/>
      <c r="E45" s="24"/>
      <c r="F45" s="24"/>
      <c r="G45" s="24"/>
      <c r="H45" s="24"/>
      <c r="I45" s="24"/>
      <c r="J45" s="24"/>
      <c r="K45" s="24"/>
      <c r="L45" s="24"/>
      <c r="M45" s="24"/>
    </row>
    <row r="46" spans="1:13" ht="32" x14ac:dyDescent="0.2">
      <c r="A46" s="4"/>
      <c r="B46" s="3"/>
      <c r="C46" s="55" t="s">
        <v>0</v>
      </c>
      <c r="D46" s="57" t="s">
        <v>8</v>
      </c>
      <c r="E46" s="127" t="s">
        <v>4</v>
      </c>
      <c r="F46" s="127"/>
      <c r="G46" s="127"/>
      <c r="H46" s="114" t="s">
        <v>29</v>
      </c>
      <c r="I46" s="115"/>
      <c r="J46" s="114" t="s">
        <v>25</v>
      </c>
      <c r="K46" s="116"/>
      <c r="L46" s="116"/>
      <c r="M46" s="115"/>
    </row>
    <row r="47" spans="1:13" ht="16" x14ac:dyDescent="0.2">
      <c r="A47" s="13" t="s">
        <v>36</v>
      </c>
      <c r="B47" s="14"/>
      <c r="C47" s="30"/>
      <c r="D47" s="30" t="s">
        <v>12</v>
      </c>
      <c r="E47" s="30" t="s">
        <v>20</v>
      </c>
      <c r="F47" s="30" t="s">
        <v>22</v>
      </c>
      <c r="G47" s="30" t="s">
        <v>21</v>
      </c>
      <c r="H47" s="5">
        <f t="shared" ref="H47:H53" si="3">LOOKUP(D47,O$4:O$28,P$4:P$28)</f>
        <v>1.37</v>
      </c>
      <c r="I47" s="6" t="s">
        <v>24</v>
      </c>
      <c r="J47" s="5">
        <f>IF(AND(C47&gt;0,ISNUMBER(H47)), C47*H47,0)</f>
        <v>0</v>
      </c>
      <c r="K47" s="6" t="s">
        <v>24</v>
      </c>
      <c r="L47" s="40">
        <f>J47*10.7639</f>
        <v>0</v>
      </c>
      <c r="M47" s="26" t="s">
        <v>55</v>
      </c>
    </row>
    <row r="48" spans="1:13" ht="16" x14ac:dyDescent="0.2">
      <c r="A48" s="13" t="s">
        <v>57</v>
      </c>
      <c r="B48" s="14"/>
      <c r="C48" s="30"/>
      <c r="D48" s="30" t="s">
        <v>11</v>
      </c>
      <c r="E48" s="30" t="s">
        <v>20</v>
      </c>
      <c r="F48" s="30" t="s">
        <v>22</v>
      </c>
      <c r="G48" s="30" t="s">
        <v>21</v>
      </c>
      <c r="H48" s="5">
        <f t="shared" si="3"/>
        <v>1.04</v>
      </c>
      <c r="I48" s="6" t="s">
        <v>24</v>
      </c>
      <c r="J48" s="5">
        <f t="shared" ref="J48:J53" si="4">IF(AND(C48&gt;0,ISNUMBER(H48)), C48*H48,0)</f>
        <v>0</v>
      </c>
      <c r="K48" s="6" t="s">
        <v>24</v>
      </c>
      <c r="L48" s="40">
        <f>J48*10.7639</f>
        <v>0</v>
      </c>
      <c r="M48" s="26" t="s">
        <v>55</v>
      </c>
    </row>
    <row r="49" spans="1:13" ht="16" x14ac:dyDescent="0.2">
      <c r="A49" s="5" t="s">
        <v>37</v>
      </c>
      <c r="B49" s="27"/>
      <c r="C49" s="30"/>
      <c r="D49" s="30" t="s">
        <v>12</v>
      </c>
      <c r="E49" s="30" t="s">
        <v>20</v>
      </c>
      <c r="F49" s="30" t="s">
        <v>22</v>
      </c>
      <c r="G49" s="30" t="s">
        <v>21</v>
      </c>
      <c r="H49" s="5">
        <f t="shared" si="3"/>
        <v>1.37</v>
      </c>
      <c r="I49" s="6" t="s">
        <v>24</v>
      </c>
      <c r="J49" s="5">
        <f t="shared" si="4"/>
        <v>0</v>
      </c>
      <c r="K49" s="6" t="s">
        <v>24</v>
      </c>
      <c r="L49" s="40">
        <f t="shared" ref="L49:L53" si="5">J49*10.7639</f>
        <v>0</v>
      </c>
      <c r="M49" s="26" t="s">
        <v>55</v>
      </c>
    </row>
    <row r="50" spans="1:13" ht="16" x14ac:dyDescent="0.2">
      <c r="A50" s="25" t="s">
        <v>40</v>
      </c>
      <c r="B50" s="26"/>
      <c r="C50" s="30"/>
      <c r="D50" s="30" t="s">
        <v>10</v>
      </c>
      <c r="E50" s="30" t="s">
        <v>20</v>
      </c>
      <c r="F50" s="30" t="s">
        <v>22</v>
      </c>
      <c r="G50" s="30" t="s">
        <v>21</v>
      </c>
      <c r="H50" s="5">
        <f t="shared" si="3"/>
        <v>0.74</v>
      </c>
      <c r="I50" s="6" t="s">
        <v>24</v>
      </c>
      <c r="J50" s="5">
        <f t="shared" si="4"/>
        <v>0</v>
      </c>
      <c r="K50" s="6" t="s">
        <v>24</v>
      </c>
      <c r="L50" s="40">
        <f t="shared" si="5"/>
        <v>0</v>
      </c>
      <c r="M50" s="26" t="s">
        <v>55</v>
      </c>
    </row>
    <row r="51" spans="1:13" ht="16" x14ac:dyDescent="0.2">
      <c r="A51" s="5" t="s">
        <v>41</v>
      </c>
      <c r="B51" s="6"/>
      <c r="C51" s="30"/>
      <c r="D51" s="30" t="s">
        <v>11</v>
      </c>
      <c r="E51" s="30" t="s">
        <v>20</v>
      </c>
      <c r="F51" s="30" t="s">
        <v>22</v>
      </c>
      <c r="G51" s="30" t="s">
        <v>21</v>
      </c>
      <c r="H51" s="5">
        <f t="shared" si="3"/>
        <v>1.04</v>
      </c>
      <c r="I51" s="6" t="s">
        <v>24</v>
      </c>
      <c r="J51" s="5">
        <f t="shared" si="4"/>
        <v>0</v>
      </c>
      <c r="K51" s="6" t="s">
        <v>24</v>
      </c>
      <c r="L51" s="40">
        <f t="shared" si="5"/>
        <v>0</v>
      </c>
      <c r="M51" s="26" t="s">
        <v>55</v>
      </c>
    </row>
    <row r="52" spans="1:13" ht="16" x14ac:dyDescent="0.2">
      <c r="A52" s="5" t="s">
        <v>42</v>
      </c>
      <c r="B52" s="6"/>
      <c r="C52" s="30"/>
      <c r="D52" s="30" t="e">
        <f>VLOOKUP($C$6,#REF!,7,TRUE)</f>
        <v>#REF!</v>
      </c>
      <c r="E52" s="30" t="s">
        <v>20</v>
      </c>
      <c r="F52" s="30" t="s">
        <v>22</v>
      </c>
      <c r="G52" s="30" t="s">
        <v>21</v>
      </c>
      <c r="H52" s="5" t="e">
        <f t="shared" si="3"/>
        <v>#REF!</v>
      </c>
      <c r="I52" s="6" t="s">
        <v>24</v>
      </c>
      <c r="J52" s="5">
        <f t="shared" si="4"/>
        <v>0</v>
      </c>
      <c r="K52" s="6" t="s">
        <v>24</v>
      </c>
      <c r="L52" s="40">
        <f t="shared" si="5"/>
        <v>0</v>
      </c>
      <c r="M52" s="26" t="s">
        <v>55</v>
      </c>
    </row>
    <row r="53" spans="1:13" ht="16" x14ac:dyDescent="0.2">
      <c r="A53" s="5" t="s">
        <v>43</v>
      </c>
      <c r="B53" s="6"/>
      <c r="C53" s="30"/>
      <c r="D53" s="30" t="e">
        <f>VLOOKUP($C$6,#REF!,9,TRUE)</f>
        <v>#REF!</v>
      </c>
      <c r="E53" s="30" t="s">
        <v>20</v>
      </c>
      <c r="F53" s="30" t="s">
        <v>22</v>
      </c>
      <c r="G53" s="30" t="s">
        <v>21</v>
      </c>
      <c r="H53" s="5" t="e">
        <f t="shared" si="3"/>
        <v>#REF!</v>
      </c>
      <c r="I53" s="6" t="s">
        <v>24</v>
      </c>
      <c r="J53" s="5">
        <f t="shared" si="4"/>
        <v>0</v>
      </c>
      <c r="K53" s="6" t="s">
        <v>24</v>
      </c>
      <c r="L53" s="40">
        <f t="shared" si="5"/>
        <v>0</v>
      </c>
      <c r="M53" s="26" t="s">
        <v>55</v>
      </c>
    </row>
    <row r="54" spans="1:13" ht="16" x14ac:dyDescent="0.2">
      <c r="A54" s="4"/>
      <c r="B54" s="3"/>
      <c r="C54" s="129" t="s">
        <v>26</v>
      </c>
      <c r="D54" s="130"/>
      <c r="E54" s="130"/>
      <c r="F54" s="130"/>
      <c r="G54" s="130"/>
      <c r="H54" s="130"/>
      <c r="I54" s="131"/>
      <c r="J54" s="5">
        <f>SUMIF(J47:J53,"&gt;0")</f>
        <v>0</v>
      </c>
      <c r="K54" s="20" t="s">
        <v>24</v>
      </c>
      <c r="L54" s="42">
        <f>SUMIF(L47:L53,"&gt;0")</f>
        <v>0</v>
      </c>
      <c r="M54" s="41" t="s">
        <v>55</v>
      </c>
    </row>
    <row r="55" spans="1:13" x14ac:dyDescent="0.2">
      <c r="A55" s="4"/>
      <c r="B55" s="3"/>
    </row>
    <row r="56" spans="1:13" ht="16" x14ac:dyDescent="0.2">
      <c r="A56" s="22" t="str">
        <f>D5</f>
        <v>Restaurant &amp; Grocery Store</v>
      </c>
      <c r="B56" s="23"/>
      <c r="C56" s="24"/>
      <c r="D56" s="24"/>
      <c r="E56" s="24"/>
      <c r="F56" s="24"/>
      <c r="G56" s="24"/>
      <c r="H56" s="24"/>
      <c r="I56" s="24"/>
      <c r="J56" s="24"/>
      <c r="K56" s="24"/>
      <c r="L56" s="24"/>
      <c r="M56" s="24"/>
    </row>
    <row r="57" spans="1:13" ht="32" x14ac:dyDescent="0.2">
      <c r="A57" s="4"/>
      <c r="B57" s="3"/>
      <c r="C57" s="55" t="s">
        <v>0</v>
      </c>
      <c r="D57" s="57" t="s">
        <v>8</v>
      </c>
      <c r="E57" s="127" t="s">
        <v>4</v>
      </c>
      <c r="F57" s="127"/>
      <c r="G57" s="127"/>
      <c r="H57" s="114" t="s">
        <v>29</v>
      </c>
      <c r="I57" s="115"/>
      <c r="J57" s="114" t="s">
        <v>25</v>
      </c>
      <c r="K57" s="116"/>
      <c r="L57" s="116"/>
      <c r="M57" s="115"/>
    </row>
    <row r="58" spans="1:13" ht="16" x14ac:dyDescent="0.2">
      <c r="A58" s="13" t="s">
        <v>36</v>
      </c>
      <c r="B58" s="14"/>
      <c r="C58" s="30"/>
      <c r="D58" s="30" t="s">
        <v>12</v>
      </c>
      <c r="E58" s="30" t="s">
        <v>20</v>
      </c>
      <c r="F58" s="30" t="s">
        <v>22</v>
      </c>
      <c r="G58" s="30" t="s">
        <v>21</v>
      </c>
      <c r="H58" s="5">
        <f t="shared" ref="H58:H65" si="6">LOOKUP(D58,O$4:O$28,P$4:P$28)</f>
        <v>1.37</v>
      </c>
      <c r="I58" s="6" t="s">
        <v>24</v>
      </c>
      <c r="J58" s="5">
        <f>IF(AND(C58&gt;0,ISNUMBER(H58)), C58*H58,0)</f>
        <v>0</v>
      </c>
      <c r="K58" s="6" t="s">
        <v>24</v>
      </c>
      <c r="L58" s="40">
        <f>J58*10.7639</f>
        <v>0</v>
      </c>
      <c r="M58" s="26" t="s">
        <v>55</v>
      </c>
    </row>
    <row r="59" spans="1:13" ht="16" x14ac:dyDescent="0.2">
      <c r="A59" s="13" t="s">
        <v>57</v>
      </c>
      <c r="B59" s="14"/>
      <c r="C59" s="30"/>
      <c r="D59" s="30" t="s">
        <v>11</v>
      </c>
      <c r="E59" s="30" t="s">
        <v>20</v>
      </c>
      <c r="F59" s="30" t="s">
        <v>22</v>
      </c>
      <c r="G59" s="30" t="s">
        <v>21</v>
      </c>
      <c r="H59" s="5">
        <f t="shared" si="6"/>
        <v>1.04</v>
      </c>
      <c r="I59" s="6" t="s">
        <v>24</v>
      </c>
      <c r="J59" s="5">
        <f t="shared" ref="J59:J65" si="7">IF(AND(C59&gt;0,ISNUMBER(H59)), C59*H59,0)</f>
        <v>0</v>
      </c>
      <c r="K59" s="6" t="s">
        <v>24</v>
      </c>
      <c r="L59" s="40">
        <f>J59*10.7639</f>
        <v>0</v>
      </c>
      <c r="M59" s="26" t="s">
        <v>55</v>
      </c>
    </row>
    <row r="60" spans="1:13" ht="16" x14ac:dyDescent="0.2">
      <c r="A60" s="5" t="s">
        <v>37</v>
      </c>
      <c r="B60" s="27"/>
      <c r="C60" s="30"/>
      <c r="D60" s="30" t="s">
        <v>12</v>
      </c>
      <c r="E60" s="30" t="s">
        <v>20</v>
      </c>
      <c r="F60" s="30" t="s">
        <v>22</v>
      </c>
      <c r="G60" s="30" t="s">
        <v>21</v>
      </c>
      <c r="H60" s="5">
        <f t="shared" si="6"/>
        <v>1.37</v>
      </c>
      <c r="I60" s="6" t="s">
        <v>24</v>
      </c>
      <c r="J60" s="5">
        <f t="shared" si="7"/>
        <v>0</v>
      </c>
      <c r="K60" s="6" t="s">
        <v>24</v>
      </c>
      <c r="L60" s="40">
        <f t="shared" ref="L60:L65" si="8">J60*10.7639</f>
        <v>0</v>
      </c>
      <c r="M60" s="26" t="s">
        <v>55</v>
      </c>
    </row>
    <row r="61" spans="1:13" ht="16" x14ac:dyDescent="0.2">
      <c r="A61" s="25" t="s">
        <v>40</v>
      </c>
      <c r="B61" s="26"/>
      <c r="C61" s="30"/>
      <c r="D61" s="30" t="s">
        <v>10</v>
      </c>
      <c r="E61" s="30" t="s">
        <v>20</v>
      </c>
      <c r="F61" s="30" t="s">
        <v>22</v>
      </c>
      <c r="G61" s="30" t="s">
        <v>21</v>
      </c>
      <c r="H61" s="5">
        <f t="shared" si="6"/>
        <v>0.74</v>
      </c>
      <c r="I61" s="6" t="s">
        <v>24</v>
      </c>
      <c r="J61" s="5">
        <f t="shared" si="7"/>
        <v>0</v>
      </c>
      <c r="K61" s="6" t="s">
        <v>24</v>
      </c>
      <c r="L61" s="40">
        <f t="shared" si="8"/>
        <v>0</v>
      </c>
      <c r="M61" s="26" t="s">
        <v>55</v>
      </c>
    </row>
    <row r="62" spans="1:13" ht="16" x14ac:dyDescent="0.2">
      <c r="A62" s="5" t="s">
        <v>41</v>
      </c>
      <c r="B62" s="6"/>
      <c r="C62" s="30"/>
      <c r="D62" s="30" t="s">
        <v>11</v>
      </c>
      <c r="E62" s="30" t="s">
        <v>20</v>
      </c>
      <c r="F62" s="30" t="s">
        <v>22</v>
      </c>
      <c r="G62" s="30" t="s">
        <v>21</v>
      </c>
      <c r="H62" s="5">
        <f t="shared" si="6"/>
        <v>1.04</v>
      </c>
      <c r="I62" s="6" t="s">
        <v>24</v>
      </c>
      <c r="J62" s="5">
        <f t="shared" si="7"/>
        <v>0</v>
      </c>
      <c r="K62" s="6" t="s">
        <v>24</v>
      </c>
      <c r="L62" s="40">
        <f t="shared" si="8"/>
        <v>0</v>
      </c>
      <c r="M62" s="26" t="s">
        <v>55</v>
      </c>
    </row>
    <row r="63" spans="1:13" ht="16" x14ac:dyDescent="0.2">
      <c r="A63" s="5" t="s">
        <v>42</v>
      </c>
      <c r="B63" s="6"/>
      <c r="C63" s="30"/>
      <c r="D63" s="30" t="e">
        <f>VLOOKUP($D$6,#REF!,7,TRUE)</f>
        <v>#REF!</v>
      </c>
      <c r="E63" s="30" t="s">
        <v>20</v>
      </c>
      <c r="F63" s="30" t="s">
        <v>22</v>
      </c>
      <c r="G63" s="30" t="s">
        <v>21</v>
      </c>
      <c r="H63" s="5" t="e">
        <f t="shared" si="6"/>
        <v>#REF!</v>
      </c>
      <c r="I63" s="6" t="s">
        <v>24</v>
      </c>
      <c r="J63" s="5">
        <f t="shared" si="7"/>
        <v>0</v>
      </c>
      <c r="K63" s="6" t="s">
        <v>24</v>
      </c>
      <c r="L63" s="40">
        <f t="shared" si="8"/>
        <v>0</v>
      </c>
      <c r="M63" s="26" t="s">
        <v>55</v>
      </c>
    </row>
    <row r="64" spans="1:13" ht="16" x14ac:dyDescent="0.2">
      <c r="A64" s="5" t="s">
        <v>43</v>
      </c>
      <c r="B64" s="6"/>
      <c r="C64" s="30"/>
      <c r="D64" s="30" t="e">
        <f>VLOOKUP($D$6,#REF!,9,TRUE)</f>
        <v>#REF!</v>
      </c>
      <c r="E64" s="30" t="s">
        <v>20</v>
      </c>
      <c r="F64" s="30" t="s">
        <v>22</v>
      </c>
      <c r="G64" s="30" t="s">
        <v>21</v>
      </c>
      <c r="H64" s="5" t="e">
        <f t="shared" si="6"/>
        <v>#REF!</v>
      </c>
      <c r="I64" s="6" t="s">
        <v>24</v>
      </c>
      <c r="J64" s="5">
        <f t="shared" si="7"/>
        <v>0</v>
      </c>
      <c r="K64" s="6" t="s">
        <v>24</v>
      </c>
      <c r="L64" s="40">
        <f t="shared" si="8"/>
        <v>0</v>
      </c>
      <c r="M64" s="26" t="s">
        <v>55</v>
      </c>
    </row>
    <row r="65" spans="1:13" ht="16" x14ac:dyDescent="0.2">
      <c r="A65" s="5" t="s">
        <v>45</v>
      </c>
      <c r="B65" s="6"/>
      <c r="C65" s="30"/>
      <c r="D65" s="30" t="s">
        <v>51</v>
      </c>
      <c r="E65" s="30" t="s">
        <v>20</v>
      </c>
      <c r="F65" s="30" t="s">
        <v>22</v>
      </c>
      <c r="G65" s="30" t="s">
        <v>21</v>
      </c>
      <c r="H65" s="5">
        <f t="shared" si="6"/>
        <v>0.12</v>
      </c>
      <c r="I65" s="6" t="s">
        <v>24</v>
      </c>
      <c r="J65" s="5">
        <f t="shared" si="7"/>
        <v>0</v>
      </c>
      <c r="K65" s="6" t="s">
        <v>24</v>
      </c>
      <c r="L65" s="40">
        <f t="shared" si="8"/>
        <v>0</v>
      </c>
      <c r="M65" s="26" t="s">
        <v>55</v>
      </c>
    </row>
    <row r="66" spans="1:13" ht="16" x14ac:dyDescent="0.2">
      <c r="A66" s="4"/>
      <c r="B66" s="3"/>
      <c r="C66" s="129" t="s">
        <v>26</v>
      </c>
      <c r="D66" s="130"/>
      <c r="E66" s="130"/>
      <c r="F66" s="130"/>
      <c r="G66" s="130"/>
      <c r="H66" s="130"/>
      <c r="I66" s="131"/>
      <c r="J66" s="5">
        <f>SUMIF(J58:J65,"&gt;0")</f>
        <v>0</v>
      </c>
      <c r="K66" s="20" t="s">
        <v>24</v>
      </c>
      <c r="L66" s="42">
        <f>SUMIF(L58:L65,"&gt;0")</f>
        <v>0</v>
      </c>
      <c r="M66" s="41" t="s">
        <v>55</v>
      </c>
    </row>
    <row r="67" spans="1:13" x14ac:dyDescent="0.2">
      <c r="A67" s="4"/>
      <c r="B67" s="3"/>
    </row>
    <row r="68" spans="1:13" ht="16" x14ac:dyDescent="0.2">
      <c r="A68" s="22" t="str">
        <f>E5</f>
        <v>Large Venue</v>
      </c>
      <c r="B68" s="23"/>
      <c r="C68" s="24"/>
      <c r="D68" s="24"/>
      <c r="E68" s="24"/>
      <c r="F68" s="24"/>
      <c r="G68" s="24"/>
      <c r="H68" s="24"/>
      <c r="I68" s="24"/>
      <c r="J68" s="24"/>
      <c r="K68" s="24"/>
      <c r="L68" s="24"/>
      <c r="M68" s="24"/>
    </row>
    <row r="69" spans="1:13" ht="32" x14ac:dyDescent="0.2">
      <c r="A69" s="4"/>
      <c r="B69" s="3"/>
      <c r="C69" s="55" t="s">
        <v>0</v>
      </c>
      <c r="D69" s="57" t="s">
        <v>8</v>
      </c>
      <c r="E69" s="127" t="s">
        <v>4</v>
      </c>
      <c r="F69" s="127"/>
      <c r="G69" s="127"/>
      <c r="H69" s="114" t="s">
        <v>29</v>
      </c>
      <c r="I69" s="115"/>
      <c r="J69" s="114" t="s">
        <v>25</v>
      </c>
      <c r="K69" s="116"/>
      <c r="L69" s="116"/>
      <c r="M69" s="115"/>
    </row>
    <row r="70" spans="1:13" ht="16" x14ac:dyDescent="0.2">
      <c r="A70" s="51" t="s">
        <v>36</v>
      </c>
      <c r="B70" s="14"/>
      <c r="C70" s="30"/>
      <c r="D70" s="30" t="s">
        <v>12</v>
      </c>
      <c r="E70" s="30" t="s">
        <v>20</v>
      </c>
      <c r="F70" s="30" t="s">
        <v>22</v>
      </c>
      <c r="G70" s="30" t="s">
        <v>21</v>
      </c>
      <c r="H70" s="5">
        <f t="shared" ref="H70:H76" si="9">LOOKUP(D70,O$4:O$28,P$4:P$28)</f>
        <v>1.37</v>
      </c>
      <c r="I70" s="6" t="s">
        <v>24</v>
      </c>
      <c r="J70" s="5">
        <f>IF(AND(C70&gt;0,ISNUMBER(H70)), C70*H70,0)</f>
        <v>0</v>
      </c>
      <c r="K70" s="6" t="s">
        <v>24</v>
      </c>
      <c r="L70" s="40">
        <f>J70*10.7639</f>
        <v>0</v>
      </c>
      <c r="M70" s="26" t="s">
        <v>55</v>
      </c>
    </row>
    <row r="71" spans="1:13" ht="16" x14ac:dyDescent="0.2">
      <c r="A71" s="51" t="s">
        <v>57</v>
      </c>
      <c r="B71" s="14"/>
      <c r="C71" s="30"/>
      <c r="D71" s="30" t="s">
        <v>11</v>
      </c>
      <c r="E71" s="30" t="s">
        <v>20</v>
      </c>
      <c r="F71" s="30" t="s">
        <v>22</v>
      </c>
      <c r="G71" s="30" t="s">
        <v>21</v>
      </c>
      <c r="H71" s="5">
        <f t="shared" si="9"/>
        <v>1.04</v>
      </c>
      <c r="I71" s="6" t="s">
        <v>24</v>
      </c>
      <c r="J71" s="5">
        <f t="shared" ref="J71:J76" si="10">IF(AND(C71&gt;0,ISNUMBER(H71)), C71*H71,0)</f>
        <v>0</v>
      </c>
      <c r="K71" s="6" t="s">
        <v>24</v>
      </c>
      <c r="L71" s="40">
        <f>J71*10.7639</f>
        <v>0</v>
      </c>
      <c r="M71" s="26" t="s">
        <v>55</v>
      </c>
    </row>
    <row r="72" spans="1:13" ht="16" x14ac:dyDescent="0.2">
      <c r="A72" s="50" t="s">
        <v>37</v>
      </c>
      <c r="B72" s="27"/>
      <c r="C72" s="30"/>
      <c r="D72" s="30" t="s">
        <v>12</v>
      </c>
      <c r="E72" s="30" t="s">
        <v>20</v>
      </c>
      <c r="F72" s="30" t="s">
        <v>22</v>
      </c>
      <c r="G72" s="30" t="s">
        <v>21</v>
      </c>
      <c r="H72" s="5">
        <f t="shared" si="9"/>
        <v>1.37</v>
      </c>
      <c r="I72" s="6" t="s">
        <v>24</v>
      </c>
      <c r="J72" s="5">
        <f t="shared" si="10"/>
        <v>0</v>
      </c>
      <c r="K72" s="6" t="s">
        <v>24</v>
      </c>
      <c r="L72" s="40">
        <f t="shared" ref="L72:L76" si="11">J72*10.7639</f>
        <v>0</v>
      </c>
      <c r="M72" s="26" t="s">
        <v>55</v>
      </c>
    </row>
    <row r="73" spans="1:13" ht="16" x14ac:dyDescent="0.2">
      <c r="A73" s="52" t="s">
        <v>40</v>
      </c>
      <c r="B73" s="26"/>
      <c r="C73" s="30"/>
      <c r="D73" s="30" t="s">
        <v>10</v>
      </c>
      <c r="E73" s="30" t="s">
        <v>20</v>
      </c>
      <c r="F73" s="30" t="s">
        <v>22</v>
      </c>
      <c r="G73" s="30" t="s">
        <v>21</v>
      </c>
      <c r="H73" s="5">
        <f t="shared" si="9"/>
        <v>0.74</v>
      </c>
      <c r="I73" s="6" t="s">
        <v>24</v>
      </c>
      <c r="J73" s="5">
        <f t="shared" si="10"/>
        <v>0</v>
      </c>
      <c r="K73" s="6" t="s">
        <v>24</v>
      </c>
      <c r="L73" s="40">
        <f t="shared" si="11"/>
        <v>0</v>
      </c>
      <c r="M73" s="26" t="s">
        <v>55</v>
      </c>
    </row>
    <row r="74" spans="1:13" ht="16" x14ac:dyDescent="0.2">
      <c r="A74" s="50" t="s">
        <v>41</v>
      </c>
      <c r="B74" s="6"/>
      <c r="C74" s="30"/>
      <c r="D74" s="30" t="s">
        <v>11</v>
      </c>
      <c r="E74" s="30" t="s">
        <v>20</v>
      </c>
      <c r="F74" s="30" t="s">
        <v>22</v>
      </c>
      <c r="G74" s="30" t="s">
        <v>21</v>
      </c>
      <c r="H74" s="5">
        <f t="shared" si="9"/>
        <v>1.04</v>
      </c>
      <c r="I74" s="6" t="s">
        <v>24</v>
      </c>
      <c r="J74" s="5">
        <f t="shared" si="10"/>
        <v>0</v>
      </c>
      <c r="K74" s="6" t="s">
        <v>24</v>
      </c>
      <c r="L74" s="40">
        <f t="shared" si="11"/>
        <v>0</v>
      </c>
      <c r="M74" s="26" t="s">
        <v>55</v>
      </c>
    </row>
    <row r="75" spans="1:13" ht="16" x14ac:dyDescent="0.2">
      <c r="A75" s="50" t="s">
        <v>42</v>
      </c>
      <c r="B75" s="6"/>
      <c r="C75" s="30"/>
      <c r="D75" s="30" t="e">
        <f>VLOOKUP($E$6,#REF!,9,TRUE)</f>
        <v>#REF!</v>
      </c>
      <c r="E75" s="30" t="s">
        <v>20</v>
      </c>
      <c r="F75" s="30" t="s">
        <v>22</v>
      </c>
      <c r="G75" s="30" t="s">
        <v>21</v>
      </c>
      <c r="H75" s="5" t="e">
        <f t="shared" si="9"/>
        <v>#REF!</v>
      </c>
      <c r="I75" s="6" t="s">
        <v>24</v>
      </c>
      <c r="J75" s="5">
        <f t="shared" si="10"/>
        <v>0</v>
      </c>
      <c r="K75" s="6" t="s">
        <v>24</v>
      </c>
      <c r="L75" s="40">
        <f t="shared" si="11"/>
        <v>0</v>
      </c>
      <c r="M75" s="26" t="s">
        <v>55</v>
      </c>
    </row>
    <row r="76" spans="1:13" ht="16" x14ac:dyDescent="0.2">
      <c r="A76" s="50" t="s">
        <v>43</v>
      </c>
      <c r="B76" s="6"/>
      <c r="C76" s="30"/>
      <c r="D76" s="30" t="e">
        <f>VLOOKUP($E$6,#REF!,11,TRUE)</f>
        <v>#REF!</v>
      </c>
      <c r="E76" s="30" t="s">
        <v>20</v>
      </c>
      <c r="F76" s="30" t="s">
        <v>22</v>
      </c>
      <c r="G76" s="30" t="s">
        <v>21</v>
      </c>
      <c r="H76" s="5" t="e">
        <f t="shared" si="9"/>
        <v>#REF!</v>
      </c>
      <c r="I76" s="6" t="s">
        <v>24</v>
      </c>
      <c r="J76" s="5">
        <f t="shared" si="10"/>
        <v>0</v>
      </c>
      <c r="K76" s="6" t="s">
        <v>24</v>
      </c>
      <c r="L76" s="40">
        <f t="shared" si="11"/>
        <v>0</v>
      </c>
      <c r="M76" s="26" t="s">
        <v>55</v>
      </c>
    </row>
    <row r="77" spans="1:13" ht="16" x14ac:dyDescent="0.2">
      <c r="A77" s="4"/>
      <c r="B77" s="3"/>
      <c r="C77" s="129" t="s">
        <v>26</v>
      </c>
      <c r="D77" s="130"/>
      <c r="E77" s="130"/>
      <c r="F77" s="130"/>
      <c r="G77" s="130"/>
      <c r="H77" s="130"/>
      <c r="I77" s="131"/>
      <c r="J77" s="5">
        <f>SUMIF(J70:J76,"&gt;0")</f>
        <v>0</v>
      </c>
      <c r="K77" s="20" t="s">
        <v>24</v>
      </c>
      <c r="L77" s="42">
        <f>SUMIF(L70:L76,"&gt;0")</f>
        <v>0</v>
      </c>
      <c r="M77" s="41" t="s">
        <v>55</v>
      </c>
    </row>
    <row r="78" spans="1:13" x14ac:dyDescent="0.2">
      <c r="A78" s="4"/>
      <c r="B78" s="3"/>
    </row>
    <row r="79" spans="1:13" ht="16" x14ac:dyDescent="0.2">
      <c r="A79" s="22" t="str">
        <f>A9</f>
        <v>Hospitality Lodging</v>
      </c>
      <c r="B79" s="23"/>
      <c r="C79" s="24"/>
      <c r="D79" s="24"/>
      <c r="E79" s="24"/>
      <c r="F79" s="24"/>
      <c r="G79" s="24"/>
      <c r="H79" s="24"/>
      <c r="I79" s="24"/>
      <c r="J79" s="24"/>
      <c r="K79" s="24"/>
      <c r="L79" s="24"/>
      <c r="M79" s="24"/>
    </row>
    <row r="80" spans="1:13" ht="32" x14ac:dyDescent="0.2">
      <c r="A80" s="4"/>
      <c r="B80" s="3"/>
      <c r="C80" s="55" t="s">
        <v>0</v>
      </c>
      <c r="D80" s="57" t="s">
        <v>8</v>
      </c>
      <c r="E80" s="127" t="s">
        <v>4</v>
      </c>
      <c r="F80" s="127"/>
      <c r="G80" s="127"/>
      <c r="H80" s="114" t="s">
        <v>29</v>
      </c>
      <c r="I80" s="115"/>
      <c r="J80" s="114" t="s">
        <v>25</v>
      </c>
      <c r="K80" s="116"/>
      <c r="L80" s="116"/>
      <c r="M80" s="115"/>
    </row>
    <row r="81" spans="1:13" ht="16" x14ac:dyDescent="0.2">
      <c r="A81" s="13" t="s">
        <v>36</v>
      </c>
      <c r="B81" s="14"/>
      <c r="C81" s="30"/>
      <c r="D81" s="30" t="s">
        <v>12</v>
      </c>
      <c r="E81" s="30" t="s">
        <v>20</v>
      </c>
      <c r="F81" s="30" t="s">
        <v>22</v>
      </c>
      <c r="G81" s="30" t="s">
        <v>21</v>
      </c>
      <c r="H81" s="5">
        <f t="shared" ref="H81:H88" si="12">LOOKUP(D81,O$4:O$28,P$4:P$28)</f>
        <v>1.37</v>
      </c>
      <c r="I81" s="6" t="s">
        <v>24</v>
      </c>
      <c r="J81" s="5">
        <f>IF(AND(C81&gt;0,ISNUMBER(H81)), C81*H81,0)</f>
        <v>0</v>
      </c>
      <c r="K81" s="6" t="s">
        <v>24</v>
      </c>
      <c r="L81" s="40">
        <f>J81*10.7639</f>
        <v>0</v>
      </c>
      <c r="M81" s="26" t="s">
        <v>55</v>
      </c>
    </row>
    <row r="82" spans="1:13" ht="16" x14ac:dyDescent="0.2">
      <c r="A82" s="13" t="s">
        <v>57</v>
      </c>
      <c r="B82" s="14"/>
      <c r="C82" s="30"/>
      <c r="D82" s="30" t="s">
        <v>11</v>
      </c>
      <c r="E82" s="30" t="s">
        <v>20</v>
      </c>
      <c r="F82" s="30" t="s">
        <v>22</v>
      </c>
      <c r="G82" s="30" t="s">
        <v>21</v>
      </c>
      <c r="H82" s="5">
        <f t="shared" si="12"/>
        <v>1.04</v>
      </c>
      <c r="I82" s="6" t="s">
        <v>24</v>
      </c>
      <c r="J82" s="5">
        <f t="shared" ref="J82:J88" si="13">IF(AND(C82&gt;0,ISNUMBER(H82)), C82*H82,0)</f>
        <v>0</v>
      </c>
      <c r="K82" s="6" t="s">
        <v>24</v>
      </c>
      <c r="L82" s="40">
        <f>J82*10.7639</f>
        <v>0</v>
      </c>
      <c r="M82" s="26" t="s">
        <v>55</v>
      </c>
    </row>
    <row r="83" spans="1:13" ht="16" x14ac:dyDescent="0.2">
      <c r="A83" s="5" t="s">
        <v>37</v>
      </c>
      <c r="B83" s="27"/>
      <c r="C83" s="30"/>
      <c r="D83" s="30" t="s">
        <v>12</v>
      </c>
      <c r="E83" s="30" t="s">
        <v>20</v>
      </c>
      <c r="F83" s="30" t="s">
        <v>22</v>
      </c>
      <c r="G83" s="30" t="s">
        <v>21</v>
      </c>
      <c r="H83" s="5">
        <f t="shared" si="12"/>
        <v>1.37</v>
      </c>
      <c r="I83" s="6" t="s">
        <v>24</v>
      </c>
      <c r="J83" s="5">
        <f t="shared" si="13"/>
        <v>0</v>
      </c>
      <c r="K83" s="6" t="s">
        <v>24</v>
      </c>
      <c r="L83" s="40">
        <f t="shared" ref="L83:L88" si="14">J83*10.7639</f>
        <v>0</v>
      </c>
      <c r="M83" s="26" t="s">
        <v>55</v>
      </c>
    </row>
    <row r="84" spans="1:13" ht="16" x14ac:dyDescent="0.2">
      <c r="A84" s="25" t="s">
        <v>40</v>
      </c>
      <c r="B84" s="26"/>
      <c r="C84" s="30"/>
      <c r="D84" s="30" t="s">
        <v>10</v>
      </c>
      <c r="E84" s="30" t="s">
        <v>20</v>
      </c>
      <c r="F84" s="30" t="s">
        <v>22</v>
      </c>
      <c r="G84" s="30" t="s">
        <v>21</v>
      </c>
      <c r="H84" s="5">
        <f t="shared" si="12"/>
        <v>0.74</v>
      </c>
      <c r="I84" s="6" t="s">
        <v>24</v>
      </c>
      <c r="J84" s="5">
        <f t="shared" si="13"/>
        <v>0</v>
      </c>
      <c r="K84" s="6" t="s">
        <v>24</v>
      </c>
      <c r="L84" s="40">
        <f t="shared" si="14"/>
        <v>0</v>
      </c>
      <c r="M84" s="26" t="s">
        <v>55</v>
      </c>
    </row>
    <row r="85" spans="1:13" ht="16" x14ac:dyDescent="0.2">
      <c r="A85" s="50" t="s">
        <v>41</v>
      </c>
      <c r="B85" s="6"/>
      <c r="C85" s="30"/>
      <c r="D85" s="30" t="s">
        <v>11</v>
      </c>
      <c r="E85" s="30" t="s">
        <v>20</v>
      </c>
      <c r="F85" s="30" t="s">
        <v>22</v>
      </c>
      <c r="G85" s="30" t="s">
        <v>21</v>
      </c>
      <c r="H85" s="5">
        <f t="shared" si="12"/>
        <v>1.04</v>
      </c>
      <c r="I85" s="6" t="s">
        <v>24</v>
      </c>
      <c r="J85" s="5">
        <f t="shared" si="13"/>
        <v>0</v>
      </c>
      <c r="K85" s="6" t="s">
        <v>24</v>
      </c>
      <c r="L85" s="40">
        <f t="shared" si="14"/>
        <v>0</v>
      </c>
      <c r="M85" s="26" t="s">
        <v>55</v>
      </c>
    </row>
    <row r="86" spans="1:13" ht="16" x14ac:dyDescent="0.2">
      <c r="A86" s="5" t="s">
        <v>42</v>
      </c>
      <c r="B86" s="6"/>
      <c r="C86" s="30"/>
      <c r="D86" s="30" t="e">
        <f>VLOOKUP($B$9,#REF!,7,TRUE)</f>
        <v>#REF!</v>
      </c>
      <c r="E86" s="30" t="s">
        <v>20</v>
      </c>
      <c r="F86" s="30" t="s">
        <v>22</v>
      </c>
      <c r="G86" s="30" t="s">
        <v>21</v>
      </c>
      <c r="H86" s="5" t="e">
        <f t="shared" si="12"/>
        <v>#REF!</v>
      </c>
      <c r="I86" s="6" t="s">
        <v>24</v>
      </c>
      <c r="J86" s="5">
        <f t="shared" si="13"/>
        <v>0</v>
      </c>
      <c r="K86" s="6" t="s">
        <v>24</v>
      </c>
      <c r="L86" s="40">
        <f t="shared" si="14"/>
        <v>0</v>
      </c>
      <c r="M86" s="26" t="s">
        <v>55</v>
      </c>
    </row>
    <row r="87" spans="1:13" ht="16" x14ac:dyDescent="0.2">
      <c r="A87" s="5" t="s">
        <v>43</v>
      </c>
      <c r="B87" s="6"/>
      <c r="C87" s="30"/>
      <c r="D87" s="30" t="e">
        <f>VLOOKUP($B$9,#REF!,9,TRUE)</f>
        <v>#REF!</v>
      </c>
      <c r="E87" s="30" t="s">
        <v>20</v>
      </c>
      <c r="F87" s="30" t="s">
        <v>22</v>
      </c>
      <c r="G87" s="30" t="s">
        <v>21</v>
      </c>
      <c r="H87" s="5" t="e">
        <f t="shared" si="12"/>
        <v>#REF!</v>
      </c>
      <c r="I87" s="6" t="s">
        <v>24</v>
      </c>
      <c r="J87" s="5">
        <f t="shared" si="13"/>
        <v>0</v>
      </c>
      <c r="K87" s="6" t="s">
        <v>24</v>
      </c>
      <c r="L87" s="40">
        <f t="shared" si="14"/>
        <v>0</v>
      </c>
      <c r="M87" s="26" t="s">
        <v>55</v>
      </c>
    </row>
    <row r="88" spans="1:13" ht="16" x14ac:dyDescent="0.2">
      <c r="A88" s="5" t="s">
        <v>45</v>
      </c>
      <c r="B88" s="6"/>
      <c r="C88" s="30"/>
      <c r="D88" s="30" t="s">
        <v>51</v>
      </c>
      <c r="E88" s="30" t="s">
        <v>20</v>
      </c>
      <c r="F88" s="30" t="s">
        <v>22</v>
      </c>
      <c r="G88" s="30" t="s">
        <v>21</v>
      </c>
      <c r="H88" s="5">
        <f t="shared" si="12"/>
        <v>0.12</v>
      </c>
      <c r="I88" s="6" t="s">
        <v>24</v>
      </c>
      <c r="J88" s="5">
        <f t="shared" si="13"/>
        <v>0</v>
      </c>
      <c r="K88" s="6" t="s">
        <v>24</v>
      </c>
      <c r="L88" s="40">
        <f t="shared" si="14"/>
        <v>0</v>
      </c>
      <c r="M88" s="26" t="s">
        <v>55</v>
      </c>
    </row>
    <row r="89" spans="1:13" ht="16" x14ac:dyDescent="0.2">
      <c r="A89" s="4"/>
      <c r="B89" s="3"/>
      <c r="C89" s="129" t="s">
        <v>26</v>
      </c>
      <c r="D89" s="130"/>
      <c r="E89" s="130"/>
      <c r="F89" s="130"/>
      <c r="G89" s="130"/>
      <c r="H89" s="130"/>
      <c r="I89" s="131"/>
      <c r="J89" s="5">
        <f>SUMIF(J81:J88,"&gt;0")</f>
        <v>0</v>
      </c>
      <c r="K89" s="20" t="s">
        <v>24</v>
      </c>
      <c r="L89" s="42">
        <f>SUMIF(L81:L88,"&gt;0")</f>
        <v>0</v>
      </c>
      <c r="M89" s="41" t="s">
        <v>55</v>
      </c>
    </row>
  </sheetData>
  <sheetProtection deleteColumns="0" deleteRows="0"/>
  <mergeCells count="33">
    <mergeCell ref="C77:I77"/>
    <mergeCell ref="E80:G80"/>
    <mergeCell ref="H80:I80"/>
    <mergeCell ref="J80:M80"/>
    <mergeCell ref="C89:I89"/>
    <mergeCell ref="E69:G69"/>
    <mergeCell ref="H69:I69"/>
    <mergeCell ref="J69:M69"/>
    <mergeCell ref="A32:H32"/>
    <mergeCell ref="E35:G35"/>
    <mergeCell ref="H35:I35"/>
    <mergeCell ref="J35:M35"/>
    <mergeCell ref="C43:I43"/>
    <mergeCell ref="E46:G46"/>
    <mergeCell ref="H46:I46"/>
    <mergeCell ref="J46:M46"/>
    <mergeCell ref="C54:I54"/>
    <mergeCell ref="E57:G57"/>
    <mergeCell ref="H57:I57"/>
    <mergeCell ref="J57:M57"/>
    <mergeCell ref="C66:I66"/>
    <mergeCell ref="A29:M29"/>
    <mergeCell ref="F5:G5"/>
    <mergeCell ref="J5:M5"/>
    <mergeCell ref="F6:G6"/>
    <mergeCell ref="J6:L6"/>
    <mergeCell ref="B7:G7"/>
    <mergeCell ref="J7:L7"/>
    <mergeCell ref="B10:H10"/>
    <mergeCell ref="A12:M12"/>
    <mergeCell ref="A13:M13"/>
    <mergeCell ref="G14:H14"/>
    <mergeCell ref="A18:M18"/>
  </mergeCells>
  <pageMargins left="0.7" right="0.7" top="0.75" bottom="0.75" header="0.3" footer="0.3"/>
  <pageSetup paperSize="5" scale="47" orientation="portrait" r:id="rId1"/>
  <headerFooter>
    <oddFooter xml:space="preserve">&amp;LDocument Number: 5492103    Version: 1_x000D_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D22"/>
  <sheetViews>
    <sheetView showGridLines="0" tabSelected="1" zoomScale="115" zoomScaleNormal="115" workbookViewId="0">
      <selection activeCell="C19" sqref="C19"/>
    </sheetView>
  </sheetViews>
  <sheetFormatPr baseColWidth="10" defaultColWidth="8.83203125" defaultRowHeight="15" x14ac:dyDescent="0.2"/>
  <cols>
    <col min="1" max="1" width="3.33203125" style="89" customWidth="1"/>
    <col min="2" max="2" width="74.6640625" style="4" customWidth="1"/>
    <col min="3" max="3" width="60.5" style="4" customWidth="1"/>
    <col min="4" max="4" width="12.5" style="92" customWidth="1"/>
  </cols>
  <sheetData>
    <row r="1" spans="1:4" ht="72.75" customHeight="1" x14ac:dyDescent="0.2"/>
    <row r="2" spans="1:4" ht="123" customHeight="1" x14ac:dyDescent="0.2"/>
    <row r="3" spans="1:4" s="3" customFormat="1" ht="43" customHeight="1" x14ac:dyDescent="0.2">
      <c r="A3" s="103"/>
      <c r="B3" s="105" t="s">
        <v>157</v>
      </c>
      <c r="C3" s="104" t="s">
        <v>161</v>
      </c>
      <c r="D3" s="91" t="s">
        <v>101</v>
      </c>
    </row>
    <row r="4" spans="1:4" ht="30" customHeight="1" x14ac:dyDescent="0.2">
      <c r="A4" s="111">
        <v>1</v>
      </c>
      <c r="B4" s="94" t="s">
        <v>160</v>
      </c>
      <c r="C4" s="95"/>
      <c r="D4" s="92">
        <f>IFERROR(VLOOKUP(C4,Calculations!A1:C176,3,FALSE),0)</f>
        <v>0</v>
      </c>
    </row>
    <row r="5" spans="1:4" ht="30" customHeight="1" x14ac:dyDescent="0.2">
      <c r="A5" s="112">
        <v>2</v>
      </c>
      <c r="B5" s="96" t="s">
        <v>148</v>
      </c>
      <c r="C5" s="97"/>
      <c r="D5" s="92">
        <f>IFERROR(VLOOKUP(C5,Calculations!A2:C177,3,FALSE),0)</f>
        <v>0</v>
      </c>
    </row>
    <row r="6" spans="1:4" ht="30" customHeight="1" x14ac:dyDescent="0.2">
      <c r="A6" s="112">
        <v>3</v>
      </c>
      <c r="B6" s="96" t="s">
        <v>149</v>
      </c>
      <c r="C6" s="97"/>
      <c r="D6" s="92">
        <f>IFERROR(VLOOKUP(C6,Calculations!A3:C178,3,FALSE),0)</f>
        <v>0</v>
      </c>
    </row>
    <row r="7" spans="1:4" ht="30" customHeight="1" x14ac:dyDescent="0.2">
      <c r="A7" s="112">
        <v>4</v>
      </c>
      <c r="B7" s="96" t="s">
        <v>150</v>
      </c>
      <c r="C7" s="97"/>
      <c r="D7" s="92">
        <f>IFERROR(VLOOKUP(C7,Calculations!A4:C179,3,FALSE),0)</f>
        <v>0</v>
      </c>
    </row>
    <row r="8" spans="1:4" ht="30" customHeight="1" x14ac:dyDescent="0.2">
      <c r="A8" s="112">
        <v>5</v>
      </c>
      <c r="B8" s="96" t="s">
        <v>151</v>
      </c>
      <c r="C8" s="97"/>
      <c r="D8" s="92">
        <f>IFERROR(VLOOKUP(C8,Calculations!A5:C180,3,FALSE),0)</f>
        <v>0</v>
      </c>
    </row>
    <row r="9" spans="1:4" ht="30" customHeight="1" x14ac:dyDescent="0.2">
      <c r="A9" s="112">
        <v>6</v>
      </c>
      <c r="B9" s="96" t="s">
        <v>118</v>
      </c>
      <c r="C9" s="97"/>
      <c r="D9" s="92">
        <f>IFERROR(VLOOKUP(C9,Calculations!A6:C181,3,FALSE),0)</f>
        <v>0</v>
      </c>
    </row>
    <row r="10" spans="1:4" ht="30" customHeight="1" x14ac:dyDescent="0.2">
      <c r="A10" s="112">
        <v>7</v>
      </c>
      <c r="B10" s="96" t="s">
        <v>117</v>
      </c>
      <c r="C10" s="97"/>
      <c r="D10" s="92">
        <f>IFERROR(VLOOKUP(C10,Calculations!A7:C182,3,FALSE),0)</f>
        <v>0</v>
      </c>
    </row>
    <row r="11" spans="1:4" ht="30" customHeight="1" x14ac:dyDescent="0.2">
      <c r="A11" s="112">
        <v>8</v>
      </c>
      <c r="B11" s="96" t="s">
        <v>116</v>
      </c>
      <c r="C11" s="97"/>
      <c r="D11" s="92">
        <f>IFERROR(VLOOKUP(C11,Calculations!A8:C183,3,FALSE),0)</f>
        <v>0</v>
      </c>
    </row>
    <row r="12" spans="1:4" ht="30" customHeight="1" x14ac:dyDescent="0.2">
      <c r="A12" s="112">
        <v>9</v>
      </c>
      <c r="B12" s="96" t="s">
        <v>115</v>
      </c>
      <c r="C12" s="97"/>
      <c r="D12" s="92">
        <f>IFERROR(VLOOKUP(C12,Calculations!A9:C184,3,FALSE),0)</f>
        <v>0</v>
      </c>
    </row>
    <row r="13" spans="1:4" ht="30" customHeight="1" x14ac:dyDescent="0.2">
      <c r="A13" s="112">
        <v>10</v>
      </c>
      <c r="B13" s="96" t="s">
        <v>114</v>
      </c>
      <c r="C13" s="97"/>
      <c r="D13" s="92">
        <f>IFERROR(VLOOKUP(C13,Calculations!A10:C185,3,FALSE),0)</f>
        <v>0</v>
      </c>
    </row>
    <row r="14" spans="1:4" ht="30" customHeight="1" x14ac:dyDescent="0.2">
      <c r="A14" s="112">
        <v>11</v>
      </c>
      <c r="B14" s="96" t="s">
        <v>113</v>
      </c>
      <c r="C14" s="97"/>
      <c r="D14" s="92">
        <f>IFERROR(VLOOKUP(C14,Calculations!A11:C186,3,FALSE),0)</f>
        <v>0</v>
      </c>
    </row>
    <row r="15" spans="1:4" x14ac:dyDescent="0.2">
      <c r="A15" s="98"/>
      <c r="B15" s="99"/>
      <c r="C15" s="99"/>
      <c r="D15" s="92">
        <f>IFERROR(VLOOKUP(C15,Calculations!A12:C187,3,FALSE),0)</f>
        <v>0</v>
      </c>
    </row>
    <row r="16" spans="1:4" ht="24" customHeight="1" x14ac:dyDescent="0.25">
      <c r="A16" s="98"/>
      <c r="B16" s="106" t="s">
        <v>159</v>
      </c>
      <c r="C16" s="99"/>
      <c r="D16" s="92">
        <f>IFERROR(SUM(D4:D15),"PENDING")</f>
        <v>0</v>
      </c>
    </row>
    <row r="17" spans="1:3" ht="24" customHeight="1" thickBot="1" x14ac:dyDescent="0.25">
      <c r="A17" s="98"/>
      <c r="B17" s="110" t="s">
        <v>158</v>
      </c>
      <c r="C17" s="108"/>
    </row>
    <row r="18" spans="1:3" ht="18" thickTop="1" x14ac:dyDescent="0.2">
      <c r="A18" s="98"/>
      <c r="B18" s="107" t="str">
        <f>IFERROR(VLOOKUP(D16,Outcome!A1:C24,3,FALSE),"Results pending your responses.")</f>
        <v>Results pending your responses.</v>
      </c>
      <c r="C18" s="109"/>
    </row>
    <row r="19" spans="1:3" ht="78" customHeight="1" thickBot="1" x14ac:dyDescent="0.25">
      <c r="A19" s="98"/>
      <c r="B19" s="100" t="str">
        <f>IFERROR(VLOOKUP(D16,Outcome!A1:C24,2,FALSE),"")</f>
        <v/>
      </c>
      <c r="C19" s="99"/>
    </row>
    <row r="20" spans="1:3" ht="16" thickTop="1" x14ac:dyDescent="0.2">
      <c r="A20" s="98"/>
      <c r="B20" s="99"/>
      <c r="C20" s="99"/>
    </row>
    <row r="21" spans="1:3" ht="18" x14ac:dyDescent="0.2">
      <c r="A21" s="98"/>
      <c r="B21" s="101" t="s">
        <v>156</v>
      </c>
      <c r="C21" s="99"/>
    </row>
    <row r="22" spans="1:3" ht="18" x14ac:dyDescent="0.2">
      <c r="A22" s="98"/>
      <c r="B22" s="102" t="s">
        <v>155</v>
      </c>
      <c r="C22" s="99"/>
    </row>
  </sheetData>
  <hyperlinks>
    <hyperlink ref="B22" r:id="rId1" xr:uid="{5D9E9463-E35D-504F-A295-3A4D0745DC99}"/>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Calculations!$A$2:$A$5</xm:f>
          </x14:formula1>
          <xm:sqref>C4</xm:sqref>
        </x14:dataValidation>
        <x14:dataValidation type="list" allowBlank="1" showInputMessage="1" showErrorMessage="1" xr:uid="{00000000-0002-0000-0100-000001000000}">
          <x14:formula1>
            <xm:f>Calculations!$A$6:$A$9</xm:f>
          </x14:formula1>
          <xm:sqref>C5</xm:sqref>
        </x14:dataValidation>
        <x14:dataValidation type="list" allowBlank="1" showInputMessage="1" showErrorMessage="1" xr:uid="{00000000-0002-0000-0100-000002000000}">
          <x14:formula1>
            <xm:f>Calculations!$A$10:$A$13</xm:f>
          </x14:formula1>
          <xm:sqref>C6</xm:sqref>
        </x14:dataValidation>
        <x14:dataValidation type="list" allowBlank="1" showInputMessage="1" showErrorMessage="1" xr:uid="{00000000-0002-0000-0100-000003000000}">
          <x14:formula1>
            <xm:f>Calculations!$A$14:$A$17</xm:f>
          </x14:formula1>
          <xm:sqref>C7</xm:sqref>
        </x14:dataValidation>
        <x14:dataValidation type="list" allowBlank="1" showInputMessage="1" showErrorMessage="1" xr:uid="{00000000-0002-0000-0100-000004000000}">
          <x14:formula1>
            <xm:f>Calculations!$A$18:$A$21</xm:f>
          </x14:formula1>
          <xm:sqref>C8</xm:sqref>
        </x14:dataValidation>
        <x14:dataValidation type="list" allowBlank="1" showInputMessage="1" showErrorMessage="1" xr:uid="{00000000-0002-0000-0100-000005000000}">
          <x14:formula1>
            <xm:f>Calculations!$A$22:$A$24</xm:f>
          </x14:formula1>
          <xm:sqref>C9</xm:sqref>
        </x14:dataValidation>
        <x14:dataValidation type="list" allowBlank="1" showInputMessage="1" showErrorMessage="1" xr:uid="{00000000-0002-0000-0100-000006000000}">
          <x14:formula1>
            <xm:f>Calculations!$A$25:$A$27</xm:f>
          </x14:formula1>
          <xm:sqref>C10</xm:sqref>
        </x14:dataValidation>
        <x14:dataValidation type="list" allowBlank="1" showInputMessage="1" showErrorMessage="1" xr:uid="{00000000-0002-0000-0100-000007000000}">
          <x14:formula1>
            <xm:f>Calculations!$A$28:$A$30</xm:f>
          </x14:formula1>
          <xm:sqref>C11</xm:sqref>
        </x14:dataValidation>
        <x14:dataValidation type="list" allowBlank="1" showInputMessage="1" showErrorMessage="1" xr:uid="{00000000-0002-0000-0100-000008000000}">
          <x14:formula1>
            <xm:f>Calculations!$A$31:$A$33</xm:f>
          </x14:formula1>
          <xm:sqref>C12</xm:sqref>
        </x14:dataValidation>
        <x14:dataValidation type="list" allowBlank="1" showInputMessage="1" showErrorMessage="1" xr:uid="{00000000-0002-0000-0100-000009000000}">
          <x14:formula1>
            <xm:f>Calculations!$A$34:$A$37</xm:f>
          </x14:formula1>
          <xm:sqref>C13</xm:sqref>
        </x14:dataValidation>
        <x14:dataValidation type="list" allowBlank="1" showInputMessage="1" showErrorMessage="1" xr:uid="{00000000-0002-0000-0100-00000A000000}">
          <x14:formula1>
            <xm:f>Calculations!$A$38:$A$41</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topLeftCell="A21" workbookViewId="0">
      <selection activeCell="A36" sqref="A36"/>
    </sheetView>
  </sheetViews>
  <sheetFormatPr baseColWidth="10" defaultColWidth="8.83203125" defaultRowHeight="15" x14ac:dyDescent="0.2"/>
  <cols>
    <col min="1" max="1" width="77.83203125" style="4" customWidth="1"/>
    <col min="2" max="2" width="56.6640625" style="4" customWidth="1"/>
    <col min="3" max="3" width="9.1640625" style="89"/>
    <col min="4" max="4" width="6.5" style="4" customWidth="1"/>
  </cols>
  <sheetData>
    <row r="1" spans="1:4" s="3" customFormat="1" ht="16" x14ac:dyDescent="0.2">
      <c r="A1" s="29" t="s">
        <v>90</v>
      </c>
      <c r="B1" s="29" t="s">
        <v>89</v>
      </c>
      <c r="C1" s="90" t="s">
        <v>91</v>
      </c>
      <c r="D1" s="29"/>
    </row>
    <row r="2" spans="1:4" ht="32" x14ac:dyDescent="0.2">
      <c r="A2" s="4" t="s">
        <v>92</v>
      </c>
      <c r="B2" s="4" t="s">
        <v>96</v>
      </c>
      <c r="C2" s="89">
        <v>3</v>
      </c>
      <c r="D2" s="4">
        <v>1</v>
      </c>
    </row>
    <row r="3" spans="1:4" ht="16" x14ac:dyDescent="0.2">
      <c r="A3" s="4" t="s">
        <v>93</v>
      </c>
      <c r="B3" s="4" t="s">
        <v>96</v>
      </c>
      <c r="C3" s="89">
        <v>1</v>
      </c>
      <c r="D3" s="4">
        <v>1</v>
      </c>
    </row>
    <row r="4" spans="1:4" ht="16" x14ac:dyDescent="0.2">
      <c r="A4" s="4" t="s">
        <v>94</v>
      </c>
      <c r="B4" s="4" t="s">
        <v>96</v>
      </c>
      <c r="C4" s="89">
        <v>2</v>
      </c>
      <c r="D4" s="4">
        <v>1</v>
      </c>
    </row>
    <row r="5" spans="1:4" ht="16" x14ac:dyDescent="0.2">
      <c r="A5" s="4" t="s">
        <v>95</v>
      </c>
      <c r="B5" s="4" t="s">
        <v>96</v>
      </c>
      <c r="C5" s="89">
        <v>1</v>
      </c>
      <c r="D5" s="4">
        <v>1</v>
      </c>
    </row>
    <row r="6" spans="1:4" ht="16" x14ac:dyDescent="0.2">
      <c r="A6" s="4" t="s">
        <v>98</v>
      </c>
      <c r="B6" s="4" t="s">
        <v>97</v>
      </c>
      <c r="C6" s="89">
        <v>3</v>
      </c>
      <c r="D6" s="4">
        <v>2</v>
      </c>
    </row>
    <row r="7" spans="1:4" ht="16" x14ac:dyDescent="0.2">
      <c r="A7" s="4" t="s">
        <v>99</v>
      </c>
      <c r="B7" s="4" t="s">
        <v>97</v>
      </c>
      <c r="C7" s="89">
        <v>1</v>
      </c>
      <c r="D7" s="4">
        <v>2</v>
      </c>
    </row>
    <row r="8" spans="1:4" ht="16" x14ac:dyDescent="0.2">
      <c r="A8" s="4" t="s">
        <v>100</v>
      </c>
      <c r="B8" s="4" t="s">
        <v>97</v>
      </c>
      <c r="C8" s="89">
        <v>2</v>
      </c>
      <c r="D8" s="4">
        <v>2</v>
      </c>
    </row>
    <row r="9" spans="1:4" ht="16" x14ac:dyDescent="0.2">
      <c r="A9" s="4" t="s">
        <v>95</v>
      </c>
      <c r="B9" s="4" t="s">
        <v>97</v>
      </c>
      <c r="C9" s="89">
        <v>1</v>
      </c>
      <c r="D9" s="4">
        <v>2</v>
      </c>
    </row>
    <row r="10" spans="1:4" ht="32" x14ac:dyDescent="0.2">
      <c r="A10" s="4" t="s">
        <v>102</v>
      </c>
      <c r="B10" s="4" t="s">
        <v>105</v>
      </c>
      <c r="C10" s="89">
        <v>3</v>
      </c>
      <c r="D10" s="4">
        <v>3</v>
      </c>
    </row>
    <row r="11" spans="1:4" ht="32" x14ac:dyDescent="0.2">
      <c r="A11" s="4" t="s">
        <v>103</v>
      </c>
      <c r="B11" s="4" t="s">
        <v>105</v>
      </c>
      <c r="C11" s="89">
        <v>1</v>
      </c>
      <c r="D11" s="4">
        <v>3</v>
      </c>
    </row>
    <row r="12" spans="1:4" ht="32" x14ac:dyDescent="0.2">
      <c r="A12" s="4" t="s">
        <v>104</v>
      </c>
      <c r="B12" s="4" t="s">
        <v>105</v>
      </c>
      <c r="C12" s="89">
        <v>2</v>
      </c>
      <c r="D12" s="4">
        <v>3</v>
      </c>
    </row>
    <row r="13" spans="1:4" ht="32" x14ac:dyDescent="0.2">
      <c r="A13" s="4" t="s">
        <v>95</v>
      </c>
      <c r="B13" s="4" t="s">
        <v>105</v>
      </c>
      <c r="C13" s="89">
        <v>1</v>
      </c>
      <c r="D13" s="4">
        <v>3</v>
      </c>
    </row>
    <row r="14" spans="1:4" ht="32" x14ac:dyDescent="0.2">
      <c r="A14" s="4" t="s">
        <v>102</v>
      </c>
      <c r="B14" s="4" t="s">
        <v>106</v>
      </c>
      <c r="C14" s="89">
        <v>3</v>
      </c>
      <c r="D14" s="4">
        <v>4</v>
      </c>
    </row>
    <row r="15" spans="1:4" ht="32" x14ac:dyDescent="0.2">
      <c r="A15" s="4" t="s">
        <v>103</v>
      </c>
      <c r="B15" s="4" t="s">
        <v>106</v>
      </c>
      <c r="C15" s="89">
        <v>1</v>
      </c>
      <c r="D15" s="4">
        <v>4</v>
      </c>
    </row>
    <row r="16" spans="1:4" ht="32" x14ac:dyDescent="0.2">
      <c r="A16" s="4" t="s">
        <v>107</v>
      </c>
      <c r="B16" s="4" t="s">
        <v>106</v>
      </c>
      <c r="C16" s="89">
        <v>2</v>
      </c>
      <c r="D16" s="4">
        <v>4</v>
      </c>
    </row>
    <row r="17" spans="1:4" ht="32" x14ac:dyDescent="0.2">
      <c r="A17" s="4" t="s">
        <v>95</v>
      </c>
      <c r="B17" s="4" t="s">
        <v>106</v>
      </c>
      <c r="C17" s="89">
        <v>1</v>
      </c>
      <c r="D17" s="4">
        <v>4</v>
      </c>
    </row>
    <row r="18" spans="1:4" ht="32" x14ac:dyDescent="0.2">
      <c r="A18" s="4" t="s">
        <v>102</v>
      </c>
      <c r="B18" s="4" t="s">
        <v>119</v>
      </c>
      <c r="C18" s="89">
        <v>3</v>
      </c>
      <c r="D18" s="4">
        <v>5</v>
      </c>
    </row>
    <row r="19" spans="1:4" ht="32" x14ac:dyDescent="0.2">
      <c r="A19" s="4" t="s">
        <v>103</v>
      </c>
      <c r="B19" s="4" t="s">
        <v>119</v>
      </c>
      <c r="C19" s="89">
        <v>1</v>
      </c>
      <c r="D19" s="4">
        <v>5</v>
      </c>
    </row>
    <row r="20" spans="1:4" ht="32" x14ac:dyDescent="0.2">
      <c r="A20" s="4" t="s">
        <v>107</v>
      </c>
      <c r="B20" s="4" t="s">
        <v>119</v>
      </c>
      <c r="C20" s="89">
        <v>2</v>
      </c>
      <c r="D20" s="4">
        <v>5</v>
      </c>
    </row>
    <row r="21" spans="1:4" ht="32" x14ac:dyDescent="0.2">
      <c r="A21" s="4" t="s">
        <v>95</v>
      </c>
      <c r="B21" s="4" t="s">
        <v>119</v>
      </c>
      <c r="C21" s="89">
        <v>1</v>
      </c>
      <c r="D21" s="4">
        <v>5</v>
      </c>
    </row>
    <row r="22" spans="1:4" ht="32" x14ac:dyDescent="0.2">
      <c r="A22" s="4" t="s">
        <v>120</v>
      </c>
      <c r="B22" s="4" t="s">
        <v>118</v>
      </c>
      <c r="C22" s="89">
        <v>3</v>
      </c>
      <c r="D22" s="4">
        <v>6</v>
      </c>
    </row>
    <row r="23" spans="1:4" ht="32" x14ac:dyDescent="0.2">
      <c r="A23" s="4" t="s">
        <v>121</v>
      </c>
      <c r="B23" s="4" t="s">
        <v>118</v>
      </c>
      <c r="C23" s="89">
        <v>2</v>
      </c>
      <c r="D23" s="4">
        <v>6</v>
      </c>
    </row>
    <row r="24" spans="1:4" ht="32" x14ac:dyDescent="0.2">
      <c r="A24" s="4" t="s">
        <v>122</v>
      </c>
      <c r="B24" s="4" t="s">
        <v>118</v>
      </c>
      <c r="C24" s="89">
        <v>1</v>
      </c>
      <c r="D24" s="4">
        <v>6</v>
      </c>
    </row>
    <row r="25" spans="1:4" ht="32" x14ac:dyDescent="0.2">
      <c r="A25" s="4" t="s">
        <v>123</v>
      </c>
      <c r="B25" s="4" t="s">
        <v>117</v>
      </c>
      <c r="C25" s="89">
        <v>3</v>
      </c>
      <c r="D25" s="4">
        <v>7</v>
      </c>
    </row>
    <row r="26" spans="1:4" ht="32" x14ac:dyDescent="0.2">
      <c r="A26" s="4" t="s">
        <v>124</v>
      </c>
      <c r="B26" s="4" t="s">
        <v>117</v>
      </c>
      <c r="C26" s="89">
        <v>2</v>
      </c>
      <c r="D26" s="4">
        <v>7</v>
      </c>
    </row>
    <row r="27" spans="1:4" ht="32" x14ac:dyDescent="0.2">
      <c r="A27" s="4" t="s">
        <v>125</v>
      </c>
      <c r="B27" s="4" t="s">
        <v>117</v>
      </c>
      <c r="C27" s="89">
        <v>1</v>
      </c>
      <c r="D27" s="4">
        <v>7</v>
      </c>
    </row>
    <row r="28" spans="1:4" ht="16" x14ac:dyDescent="0.2">
      <c r="A28" s="4" t="s">
        <v>126</v>
      </c>
      <c r="B28" s="4" t="s">
        <v>116</v>
      </c>
      <c r="C28" s="89">
        <v>3</v>
      </c>
      <c r="D28" s="4">
        <v>8</v>
      </c>
    </row>
    <row r="29" spans="1:4" ht="16" x14ac:dyDescent="0.2">
      <c r="A29" s="4" t="s">
        <v>127</v>
      </c>
      <c r="B29" s="4" t="s">
        <v>116</v>
      </c>
      <c r="C29" s="89">
        <v>2</v>
      </c>
      <c r="D29" s="4">
        <v>8</v>
      </c>
    </row>
    <row r="30" spans="1:4" ht="16" x14ac:dyDescent="0.2">
      <c r="A30" s="4" t="s">
        <v>130</v>
      </c>
      <c r="B30" s="4" t="s">
        <v>116</v>
      </c>
      <c r="C30" s="89">
        <v>1</v>
      </c>
      <c r="D30" s="4">
        <v>8</v>
      </c>
    </row>
    <row r="31" spans="1:4" ht="32" x14ac:dyDescent="0.2">
      <c r="A31" s="4" t="s">
        <v>128</v>
      </c>
      <c r="B31" s="4" t="s">
        <v>115</v>
      </c>
      <c r="C31" s="89">
        <v>3</v>
      </c>
      <c r="D31" s="4">
        <v>9</v>
      </c>
    </row>
    <row r="32" spans="1:4" ht="32" x14ac:dyDescent="0.2">
      <c r="A32" s="4" t="s">
        <v>129</v>
      </c>
      <c r="B32" s="4" t="s">
        <v>115</v>
      </c>
      <c r="C32" s="89">
        <v>1</v>
      </c>
      <c r="D32" s="4">
        <v>9</v>
      </c>
    </row>
    <row r="33" spans="1:4" ht="32" x14ac:dyDescent="0.2">
      <c r="A33" s="4" t="s">
        <v>131</v>
      </c>
      <c r="B33" s="4" t="s">
        <v>115</v>
      </c>
      <c r="C33" s="89">
        <v>1</v>
      </c>
      <c r="D33" s="4">
        <v>9</v>
      </c>
    </row>
    <row r="34" spans="1:4" ht="32" x14ac:dyDescent="0.2">
      <c r="A34" s="4" t="s">
        <v>132</v>
      </c>
      <c r="B34" s="4" t="s">
        <v>114</v>
      </c>
      <c r="C34" s="89">
        <v>2</v>
      </c>
      <c r="D34" s="4">
        <v>10</v>
      </c>
    </row>
    <row r="35" spans="1:4" ht="32" x14ac:dyDescent="0.2">
      <c r="A35" s="4" t="s">
        <v>133</v>
      </c>
      <c r="B35" s="4" t="s">
        <v>114</v>
      </c>
      <c r="C35" s="89">
        <v>3</v>
      </c>
      <c r="D35" s="4">
        <v>10</v>
      </c>
    </row>
    <row r="36" spans="1:4" ht="32" x14ac:dyDescent="0.2">
      <c r="A36" s="4" t="s">
        <v>134</v>
      </c>
      <c r="B36" s="4" t="s">
        <v>114</v>
      </c>
      <c r="C36" s="89">
        <v>1</v>
      </c>
      <c r="D36" s="4">
        <v>10</v>
      </c>
    </row>
    <row r="37" spans="1:4" ht="32" x14ac:dyDescent="0.2">
      <c r="A37" s="4" t="s">
        <v>135</v>
      </c>
      <c r="B37" s="4" t="s">
        <v>114</v>
      </c>
      <c r="C37" s="89">
        <v>1</v>
      </c>
      <c r="D37" s="4">
        <v>10</v>
      </c>
    </row>
    <row r="38" spans="1:4" ht="32" x14ac:dyDescent="0.2">
      <c r="A38" s="4" t="s">
        <v>136</v>
      </c>
      <c r="B38" s="4" t="s">
        <v>113</v>
      </c>
      <c r="C38" s="89">
        <v>3</v>
      </c>
      <c r="D38" s="4">
        <v>11</v>
      </c>
    </row>
    <row r="39" spans="1:4" ht="32" x14ac:dyDescent="0.2">
      <c r="A39" s="4" t="s">
        <v>137</v>
      </c>
      <c r="B39" s="4" t="s">
        <v>113</v>
      </c>
      <c r="C39" s="89">
        <v>2</v>
      </c>
      <c r="D39" s="4">
        <v>11</v>
      </c>
    </row>
    <row r="40" spans="1:4" ht="32" x14ac:dyDescent="0.2">
      <c r="A40" s="4" t="s">
        <v>129</v>
      </c>
      <c r="B40" s="4" t="s">
        <v>113</v>
      </c>
      <c r="C40" s="89">
        <v>1</v>
      </c>
      <c r="D40" s="4">
        <v>11</v>
      </c>
    </row>
    <row r="41" spans="1:4" ht="32" x14ac:dyDescent="0.2">
      <c r="A41" s="4" t="s">
        <v>95</v>
      </c>
      <c r="B41" s="4" t="s">
        <v>113</v>
      </c>
      <c r="C41" s="89">
        <v>1</v>
      </c>
      <c r="D41" s="4">
        <v>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4"/>
  <sheetViews>
    <sheetView workbookViewId="0">
      <selection activeCell="B3" sqref="B3"/>
    </sheetView>
  </sheetViews>
  <sheetFormatPr baseColWidth="10" defaultColWidth="8.83203125" defaultRowHeight="15" x14ac:dyDescent="0.2"/>
  <cols>
    <col min="1" max="1" width="9.1640625" style="89"/>
    <col min="2" max="2" width="106.1640625" style="4" customWidth="1"/>
    <col min="3" max="3" width="24.5" customWidth="1"/>
  </cols>
  <sheetData>
    <row r="1" spans="1:3" s="3" customFormat="1" ht="16" x14ac:dyDescent="0.2">
      <c r="A1" s="90" t="s">
        <v>91</v>
      </c>
      <c r="B1" s="29" t="s">
        <v>108</v>
      </c>
      <c r="C1" s="3" t="s">
        <v>112</v>
      </c>
    </row>
    <row r="2" spans="1:3" ht="64" x14ac:dyDescent="0.2">
      <c r="A2" s="89">
        <v>11</v>
      </c>
      <c r="B2" s="4" t="s">
        <v>144</v>
      </c>
      <c r="C2" t="s">
        <v>109</v>
      </c>
    </row>
    <row r="3" spans="1:3" ht="48" x14ac:dyDescent="0.2">
      <c r="A3" s="89">
        <v>12</v>
      </c>
      <c r="B3" s="4" t="s">
        <v>152</v>
      </c>
      <c r="C3" t="s">
        <v>110</v>
      </c>
    </row>
    <row r="4" spans="1:3" ht="48" x14ac:dyDescent="0.2">
      <c r="A4" s="89">
        <v>13</v>
      </c>
      <c r="B4" s="4" t="s">
        <v>153</v>
      </c>
      <c r="C4" t="s">
        <v>110</v>
      </c>
    </row>
    <row r="5" spans="1:3" ht="48" x14ac:dyDescent="0.2">
      <c r="A5" s="89">
        <v>14</v>
      </c>
      <c r="B5" s="4" t="s">
        <v>152</v>
      </c>
      <c r="C5" t="s">
        <v>110</v>
      </c>
    </row>
    <row r="6" spans="1:3" ht="48" x14ac:dyDescent="0.2">
      <c r="A6" s="89">
        <v>15</v>
      </c>
      <c r="B6" s="4" t="s">
        <v>152</v>
      </c>
      <c r="C6" t="s">
        <v>110</v>
      </c>
    </row>
    <row r="7" spans="1:3" ht="48" x14ac:dyDescent="0.2">
      <c r="A7" s="89">
        <v>16</v>
      </c>
      <c r="B7" s="4" t="s">
        <v>152</v>
      </c>
      <c r="C7" t="s">
        <v>110</v>
      </c>
    </row>
    <row r="8" spans="1:3" ht="48" x14ac:dyDescent="0.2">
      <c r="A8" s="89">
        <v>17</v>
      </c>
      <c r="B8" s="4" t="s">
        <v>145</v>
      </c>
      <c r="C8" t="s">
        <v>110</v>
      </c>
    </row>
    <row r="9" spans="1:3" ht="48" x14ac:dyDescent="0.2">
      <c r="A9" s="89">
        <v>18</v>
      </c>
      <c r="B9" s="4" t="s">
        <v>146</v>
      </c>
      <c r="C9" t="s">
        <v>110</v>
      </c>
    </row>
    <row r="10" spans="1:3" ht="48" x14ac:dyDescent="0.2">
      <c r="A10" s="89">
        <v>19</v>
      </c>
      <c r="B10" s="4" t="s">
        <v>145</v>
      </c>
      <c r="C10" t="s">
        <v>110</v>
      </c>
    </row>
    <row r="11" spans="1:3" ht="48" x14ac:dyDescent="0.2">
      <c r="A11" s="89">
        <v>20</v>
      </c>
      <c r="B11" s="4" t="s">
        <v>138</v>
      </c>
      <c r="C11" t="s">
        <v>110</v>
      </c>
    </row>
    <row r="12" spans="1:3" ht="48" x14ac:dyDescent="0.2">
      <c r="A12" s="89">
        <v>21</v>
      </c>
      <c r="B12" s="4" t="s">
        <v>145</v>
      </c>
      <c r="C12" t="s">
        <v>110</v>
      </c>
    </row>
    <row r="13" spans="1:3" ht="48" x14ac:dyDescent="0.2">
      <c r="A13" s="89">
        <v>22</v>
      </c>
      <c r="B13" s="4" t="s">
        <v>154</v>
      </c>
      <c r="C13" t="s">
        <v>110</v>
      </c>
    </row>
    <row r="14" spans="1:3" ht="48" x14ac:dyDescent="0.2">
      <c r="A14" s="89">
        <v>23</v>
      </c>
      <c r="B14" s="4" t="s">
        <v>145</v>
      </c>
      <c r="C14" t="s">
        <v>110</v>
      </c>
    </row>
    <row r="15" spans="1:3" ht="48" x14ac:dyDescent="0.2">
      <c r="A15" s="89">
        <v>24</v>
      </c>
      <c r="B15" s="4" t="s">
        <v>145</v>
      </c>
      <c r="C15" t="s">
        <v>110</v>
      </c>
    </row>
    <row r="16" spans="1:3" ht="48" x14ac:dyDescent="0.2">
      <c r="A16" s="89">
        <v>25</v>
      </c>
      <c r="B16" s="93" t="s">
        <v>147</v>
      </c>
      <c r="C16" t="s">
        <v>111</v>
      </c>
    </row>
    <row r="17" spans="1:3" ht="48" x14ac:dyDescent="0.2">
      <c r="A17" s="89">
        <v>26</v>
      </c>
      <c r="B17" s="4" t="s">
        <v>143</v>
      </c>
      <c r="C17" t="s">
        <v>111</v>
      </c>
    </row>
    <row r="18" spans="1:3" ht="48" x14ac:dyDescent="0.2">
      <c r="A18" s="89">
        <v>27</v>
      </c>
      <c r="B18" s="4" t="s">
        <v>143</v>
      </c>
      <c r="C18" t="s">
        <v>111</v>
      </c>
    </row>
    <row r="19" spans="1:3" ht="48" x14ac:dyDescent="0.2">
      <c r="A19" s="89">
        <v>28</v>
      </c>
      <c r="B19" s="4" t="s">
        <v>142</v>
      </c>
      <c r="C19" t="s">
        <v>111</v>
      </c>
    </row>
    <row r="20" spans="1:3" ht="48" x14ac:dyDescent="0.2">
      <c r="A20" s="89">
        <v>29</v>
      </c>
      <c r="B20" s="4" t="s">
        <v>141</v>
      </c>
      <c r="C20" t="s">
        <v>111</v>
      </c>
    </row>
    <row r="21" spans="1:3" ht="48" x14ac:dyDescent="0.2">
      <c r="A21" s="89">
        <v>30</v>
      </c>
      <c r="B21" s="4" t="s">
        <v>139</v>
      </c>
      <c r="C21" t="s">
        <v>111</v>
      </c>
    </row>
    <row r="22" spans="1:3" ht="48" x14ac:dyDescent="0.2">
      <c r="A22" s="89">
        <v>21</v>
      </c>
      <c r="B22" s="4" t="s">
        <v>139</v>
      </c>
      <c r="C22" t="s">
        <v>111</v>
      </c>
    </row>
    <row r="23" spans="1:3" ht="48" x14ac:dyDescent="0.2">
      <c r="A23" s="89">
        <v>32</v>
      </c>
      <c r="B23" s="4" t="s">
        <v>140</v>
      </c>
      <c r="C23" t="s">
        <v>111</v>
      </c>
    </row>
    <row r="24" spans="1:3" ht="48" x14ac:dyDescent="0.2">
      <c r="A24" s="89">
        <v>33</v>
      </c>
      <c r="B24" s="4" t="s">
        <v>143</v>
      </c>
      <c r="C24"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zoomScale="70" zoomScaleNormal="70" zoomScaleSheetLayoutView="100" workbookViewId="0">
      <selection activeCell="C26" sqref="C26"/>
    </sheetView>
  </sheetViews>
  <sheetFormatPr baseColWidth="10" defaultColWidth="8.83203125" defaultRowHeight="15" x14ac:dyDescent="0.2"/>
  <cols>
    <col min="1" max="1" width="48.33203125" customWidth="1"/>
    <col min="2" max="2" width="9.33203125" customWidth="1"/>
    <col min="3" max="4" width="10" customWidth="1"/>
    <col min="5" max="5" width="10.33203125" customWidth="1"/>
    <col min="6" max="6" width="8.33203125" bestFit="1" customWidth="1"/>
    <col min="8" max="8" width="10.33203125" customWidth="1"/>
  </cols>
  <sheetData>
    <row r="1" spans="1:18" x14ac:dyDescent="0.2">
      <c r="A1" s="3" t="s">
        <v>5</v>
      </c>
      <c r="E1" s="7"/>
      <c r="F1" s="8" t="s">
        <v>28</v>
      </c>
    </row>
    <row r="2" spans="1:18" x14ac:dyDescent="0.2">
      <c r="P2" s="31" t="s">
        <v>27</v>
      </c>
      <c r="Q2" s="32"/>
      <c r="R2" s="32"/>
    </row>
    <row r="3" spans="1:18" x14ac:dyDescent="0.2">
      <c r="A3" s="9" t="s">
        <v>30</v>
      </c>
      <c r="B3" s="9"/>
      <c r="C3" s="10"/>
      <c r="D3" s="10"/>
      <c r="E3" s="10"/>
      <c r="F3" s="10"/>
      <c r="G3" s="10"/>
      <c r="H3" s="10"/>
      <c r="I3" s="10"/>
      <c r="P3" s="32"/>
      <c r="Q3" s="32"/>
      <c r="R3" s="32"/>
    </row>
    <row r="4" spans="1:18" ht="59.5" customHeight="1" x14ac:dyDescent="0.2">
      <c r="A4" s="45" t="s">
        <v>63</v>
      </c>
      <c r="B4" s="46">
        <v>271</v>
      </c>
      <c r="C4" s="137" t="str">
        <f>IF(B4&gt;500,"Total number of units must be 500 or less.  If greater than 500 then it is recommended that you discuss options with your waste hauler.","")</f>
        <v/>
      </c>
      <c r="D4" s="138"/>
      <c r="E4" s="138"/>
      <c r="F4" s="138"/>
      <c r="G4" s="138"/>
      <c r="H4" s="138"/>
      <c r="P4" s="31" t="s">
        <v>9</v>
      </c>
      <c r="Q4" s="32"/>
      <c r="R4" s="32"/>
    </row>
    <row r="5" spans="1:18" x14ac:dyDescent="0.2">
      <c r="A5" s="28"/>
      <c r="P5" s="32" t="s">
        <v>8</v>
      </c>
      <c r="Q5" s="32" t="s">
        <v>23</v>
      </c>
      <c r="R5" s="32"/>
    </row>
    <row r="6" spans="1:18" x14ac:dyDescent="0.2">
      <c r="A6" s="9" t="s">
        <v>6</v>
      </c>
      <c r="B6" s="9"/>
      <c r="C6" s="10"/>
      <c r="D6" s="10"/>
      <c r="E6" s="10"/>
      <c r="F6" s="10"/>
      <c r="G6" s="10"/>
      <c r="H6" s="10"/>
      <c r="I6" s="10"/>
      <c r="P6" s="32" t="s">
        <v>78</v>
      </c>
      <c r="Q6" s="58">
        <v>0</v>
      </c>
      <c r="R6" s="32" t="s">
        <v>73</v>
      </c>
    </row>
    <row r="7" spans="1:18" ht="16" x14ac:dyDescent="0.2">
      <c r="A7" s="22" t="str">
        <f>A4</f>
        <v>Apartment/Condominium</v>
      </c>
      <c r="B7" s="23"/>
      <c r="C7" s="24"/>
      <c r="D7" s="24"/>
      <c r="E7" s="24"/>
      <c r="F7" s="24"/>
      <c r="G7" s="24"/>
      <c r="H7" s="24"/>
      <c r="I7" s="24"/>
      <c r="P7" s="2" t="s">
        <v>10</v>
      </c>
      <c r="Q7" s="2">
        <v>0.74</v>
      </c>
      <c r="R7" s="2" t="s">
        <v>73</v>
      </c>
    </row>
    <row r="8" spans="1:18" ht="32" x14ac:dyDescent="0.2">
      <c r="A8" s="4"/>
      <c r="B8" s="3"/>
      <c r="C8" s="55" t="s">
        <v>0</v>
      </c>
      <c r="D8" s="57" t="s">
        <v>8</v>
      </c>
      <c r="E8" s="139" t="s">
        <v>4</v>
      </c>
      <c r="F8" s="140"/>
      <c r="G8" s="141"/>
      <c r="P8" s="32" t="s">
        <v>11</v>
      </c>
      <c r="Q8" s="32">
        <v>1.04</v>
      </c>
      <c r="R8" s="32" t="s">
        <v>73</v>
      </c>
    </row>
    <row r="9" spans="1:18" ht="16" x14ac:dyDescent="0.2">
      <c r="A9" s="5" t="s">
        <v>1</v>
      </c>
      <c r="B9" s="6"/>
      <c r="C9" s="30" t="e">
        <f>VLOOKUP($B$4,#REF!,3,TRUE)</f>
        <v>#REF!</v>
      </c>
      <c r="D9" s="30" t="s">
        <v>12</v>
      </c>
      <c r="E9" s="30" t="s">
        <v>20</v>
      </c>
      <c r="F9" s="30" t="s">
        <v>22</v>
      </c>
      <c r="G9" s="30" t="s">
        <v>21</v>
      </c>
      <c r="P9" s="32" t="s">
        <v>12</v>
      </c>
      <c r="Q9" s="32">
        <v>1.37</v>
      </c>
      <c r="R9" s="32" t="s">
        <v>73</v>
      </c>
    </row>
    <row r="10" spans="1:18" ht="16" x14ac:dyDescent="0.2">
      <c r="A10" s="5" t="s">
        <v>69</v>
      </c>
      <c r="B10" s="6"/>
      <c r="C10" s="30" t="e">
        <f>VLOOKUP($B$4,#REF!,4,TRUE)</f>
        <v>#REF!</v>
      </c>
      <c r="D10" s="30" t="s">
        <v>11</v>
      </c>
      <c r="E10" s="30" t="s">
        <v>20</v>
      </c>
      <c r="F10" s="30" t="s">
        <v>22</v>
      </c>
      <c r="G10" s="30" t="s">
        <v>21</v>
      </c>
      <c r="P10" s="32" t="s">
        <v>65</v>
      </c>
      <c r="Q10" s="32">
        <v>4.41</v>
      </c>
      <c r="R10" s="32" t="s">
        <v>73</v>
      </c>
    </row>
    <row r="11" spans="1:18" ht="16" x14ac:dyDescent="0.2">
      <c r="A11" s="5" t="s">
        <v>70</v>
      </c>
      <c r="B11" s="6"/>
      <c r="C11" s="30" t="e">
        <f>VLOOKUP($B$4,#REF!,5,TRUE)</f>
        <v>#REF!</v>
      </c>
      <c r="D11" s="30" t="s">
        <v>12</v>
      </c>
      <c r="E11" s="30" t="s">
        <v>20</v>
      </c>
      <c r="F11" s="30" t="s">
        <v>22</v>
      </c>
      <c r="G11" s="30" t="s">
        <v>21</v>
      </c>
      <c r="P11" s="32" t="s">
        <v>76</v>
      </c>
      <c r="Q11" s="32">
        <v>5.64</v>
      </c>
      <c r="R11" s="32" t="s">
        <v>73</v>
      </c>
    </row>
    <row r="12" spans="1:18" ht="16" x14ac:dyDescent="0.2">
      <c r="A12" s="5" t="s">
        <v>2</v>
      </c>
      <c r="B12" s="6"/>
      <c r="C12" s="30" t="e">
        <f>VLOOKUP($B$4,#REF!,6,TRUE)</f>
        <v>#REF!</v>
      </c>
      <c r="D12" s="30" t="s">
        <v>10</v>
      </c>
      <c r="E12" s="30" t="s">
        <v>20</v>
      </c>
      <c r="F12" s="30" t="s">
        <v>22</v>
      </c>
      <c r="G12" s="30" t="s">
        <v>21</v>
      </c>
      <c r="P12" s="32" t="s">
        <v>77</v>
      </c>
      <c r="Q12" s="32">
        <v>6.91</v>
      </c>
      <c r="R12" s="32" t="s">
        <v>73</v>
      </c>
    </row>
    <row r="13" spans="1:18" ht="16" x14ac:dyDescent="0.2">
      <c r="A13" s="5" t="s">
        <v>7</v>
      </c>
      <c r="B13" s="6"/>
      <c r="C13" s="30" t="e">
        <f>VLOOKUP($B$4,#REF!,7,TRUE)</f>
        <v>#REF!</v>
      </c>
      <c r="D13" s="30" t="s">
        <v>11</v>
      </c>
      <c r="E13" s="30" t="s">
        <v>20</v>
      </c>
      <c r="F13" s="30" t="s">
        <v>22</v>
      </c>
      <c r="G13" s="30" t="s">
        <v>21</v>
      </c>
      <c r="P13" s="32" t="s">
        <v>72</v>
      </c>
      <c r="Q13" s="32">
        <v>0.47</v>
      </c>
      <c r="R13" s="32" t="s">
        <v>73</v>
      </c>
    </row>
    <row r="14" spans="1:18" ht="16" x14ac:dyDescent="0.2">
      <c r="A14" s="5" t="s">
        <v>47</v>
      </c>
      <c r="B14" s="6"/>
      <c r="C14" s="30" t="e">
        <f>VLOOKUP($B$4,#REF!,8,TRUE)</f>
        <v>#REF!</v>
      </c>
      <c r="D14" s="30" t="e">
        <f>VLOOKUP($B$4,#REF!,9,TRUE)</f>
        <v>#REF!</v>
      </c>
      <c r="E14" s="30" t="s">
        <v>20</v>
      </c>
      <c r="F14" s="30" t="s">
        <v>22</v>
      </c>
      <c r="G14" s="30" t="s">
        <v>21</v>
      </c>
      <c r="H14" s="48"/>
      <c r="I14" s="49"/>
      <c r="J14" s="49"/>
      <c r="K14" s="49"/>
      <c r="L14" s="49"/>
      <c r="M14" s="49"/>
      <c r="N14" s="49"/>
      <c r="O14" s="49"/>
      <c r="P14" s="86" t="s">
        <v>58</v>
      </c>
      <c r="Q14" s="87">
        <v>0</v>
      </c>
      <c r="R14" s="32" t="s">
        <v>73</v>
      </c>
    </row>
    <row r="15" spans="1:18" ht="29" customHeight="1" x14ac:dyDescent="0.2">
      <c r="A15" s="5" t="s">
        <v>3</v>
      </c>
      <c r="B15" s="6"/>
      <c r="C15" s="30" t="e">
        <f>VLOOKUP($B$4,#REF!,10,TRUE)</f>
        <v>#REF!</v>
      </c>
      <c r="D15" s="30" t="e">
        <f>VLOOKUP($B$4,#REF!,11,TRUE)</f>
        <v>#REF!</v>
      </c>
      <c r="E15" s="30" t="s">
        <v>20</v>
      </c>
      <c r="F15" s="30" t="s">
        <v>22</v>
      </c>
      <c r="G15" s="30" t="s">
        <v>21</v>
      </c>
      <c r="H15" s="142" t="str">
        <f>IF(B4&gt;150,"It is more space efficient to use a compactor at this point.  Please consult with a waste service provider to discuss with containers are suitable.","")</f>
        <v>It is more space efficient to use a compactor at this point.  Please consult with a waste service provider to discuss with containers are suitable.</v>
      </c>
      <c r="I15" s="143"/>
      <c r="J15" s="143"/>
      <c r="K15" s="143"/>
      <c r="L15" s="143"/>
      <c r="M15" s="143"/>
      <c r="N15" s="143"/>
      <c r="O15" s="143"/>
      <c r="P15" s="88" t="s">
        <v>86</v>
      </c>
      <c r="Q15" s="87">
        <v>0</v>
      </c>
      <c r="R15" s="32" t="s">
        <v>75</v>
      </c>
    </row>
    <row r="16" spans="1:18" x14ac:dyDescent="0.2">
      <c r="A16" s="4"/>
    </row>
    <row r="17" spans="1:9" x14ac:dyDescent="0.2">
      <c r="A17" s="9" t="s">
        <v>19</v>
      </c>
      <c r="B17" s="10"/>
      <c r="C17" s="11"/>
      <c r="D17" s="11"/>
      <c r="E17" s="12"/>
      <c r="F17" s="10"/>
      <c r="G17" s="12"/>
      <c r="H17" s="10"/>
      <c r="I17" s="10"/>
    </row>
    <row r="18" spans="1:9" x14ac:dyDescent="0.2">
      <c r="A18" s="128"/>
      <c r="B18" s="128"/>
      <c r="C18" s="128"/>
      <c r="D18" s="128"/>
      <c r="E18" s="128"/>
      <c r="F18" s="128"/>
      <c r="G18" s="128"/>
      <c r="H18" s="128"/>
    </row>
    <row r="19" spans="1:9" ht="16" x14ac:dyDescent="0.2">
      <c r="A19" s="22" t="str">
        <f>A4</f>
        <v>Apartment/Condominium</v>
      </c>
      <c r="B19" s="23"/>
      <c r="C19" s="24"/>
      <c r="D19" s="24"/>
      <c r="E19" s="24"/>
      <c r="F19" s="24"/>
      <c r="G19" s="24"/>
      <c r="H19" s="24"/>
      <c r="I19" s="24"/>
    </row>
    <row r="20" spans="1:9" ht="32" x14ac:dyDescent="0.2">
      <c r="A20" s="3"/>
      <c r="C20" s="144" t="s">
        <v>32</v>
      </c>
      <c r="D20" s="144"/>
      <c r="E20" s="55" t="s">
        <v>0</v>
      </c>
      <c r="F20" s="144" t="s">
        <v>25</v>
      </c>
      <c r="G20" s="144"/>
      <c r="H20" s="144"/>
      <c r="I20" s="144"/>
    </row>
    <row r="21" spans="1:9" ht="16" x14ac:dyDescent="0.2">
      <c r="A21" s="5" t="s">
        <v>1</v>
      </c>
      <c r="B21" s="6"/>
      <c r="C21" s="5">
        <f t="shared" ref="C21:C27" si="0">LOOKUP(D9,P$6:P$13,Q$6:Q$13)</f>
        <v>1.37</v>
      </c>
      <c r="D21" s="6" t="s">
        <v>24</v>
      </c>
      <c r="E21" s="1" t="e">
        <f t="shared" ref="E21:E27" si="1">C9</f>
        <v>#REF!</v>
      </c>
      <c r="F21" s="5" t="e">
        <f t="shared" ref="F21:F25" si="2">IF(C21&gt;0, C21*E21,0)</f>
        <v>#REF!</v>
      </c>
      <c r="G21" s="6" t="s">
        <v>24</v>
      </c>
      <c r="H21" s="40" t="e">
        <f>F21*10.7639</f>
        <v>#REF!</v>
      </c>
      <c r="I21" s="26" t="s">
        <v>55</v>
      </c>
    </row>
    <row r="22" spans="1:9" ht="16" x14ac:dyDescent="0.2">
      <c r="A22" s="5" t="s">
        <v>69</v>
      </c>
      <c r="B22" s="6"/>
      <c r="C22" s="5">
        <f t="shared" si="0"/>
        <v>1.04</v>
      </c>
      <c r="D22" s="6" t="s">
        <v>24</v>
      </c>
      <c r="E22" s="1" t="e">
        <f t="shared" si="1"/>
        <v>#REF!</v>
      </c>
      <c r="F22" s="5" t="e">
        <f t="shared" si="2"/>
        <v>#REF!</v>
      </c>
      <c r="G22" s="6" t="s">
        <v>24</v>
      </c>
      <c r="H22" s="40" t="e">
        <f>F22*10.7639</f>
        <v>#REF!</v>
      </c>
      <c r="I22" s="26" t="s">
        <v>55</v>
      </c>
    </row>
    <row r="23" spans="1:9" ht="16" x14ac:dyDescent="0.2">
      <c r="A23" s="5" t="s">
        <v>70</v>
      </c>
      <c r="B23" s="6"/>
      <c r="C23" s="5">
        <f t="shared" si="0"/>
        <v>1.37</v>
      </c>
      <c r="D23" s="6" t="s">
        <v>24</v>
      </c>
      <c r="E23" s="1" t="e">
        <f t="shared" si="1"/>
        <v>#REF!</v>
      </c>
      <c r="F23" s="5">
        <f>IF(AND(C23&gt;0,ISNUMBER(E23)), C23*E23,0)</f>
        <v>0</v>
      </c>
      <c r="G23" s="6" t="s">
        <v>24</v>
      </c>
      <c r="H23" s="40">
        <f t="shared" ref="H23:H27" si="3">F23*10.7639</f>
        <v>0</v>
      </c>
      <c r="I23" s="26" t="s">
        <v>55</v>
      </c>
    </row>
    <row r="24" spans="1:9" ht="16" x14ac:dyDescent="0.2">
      <c r="A24" s="5" t="s">
        <v>2</v>
      </c>
      <c r="B24" s="6"/>
      <c r="C24" s="5">
        <f t="shared" si="0"/>
        <v>0.74</v>
      </c>
      <c r="D24" s="6" t="s">
        <v>24</v>
      </c>
      <c r="E24" s="1" t="e">
        <f t="shared" si="1"/>
        <v>#REF!</v>
      </c>
      <c r="F24" s="5">
        <f>IFERROR(C24*E24,0)</f>
        <v>0</v>
      </c>
      <c r="G24" s="6" t="s">
        <v>24</v>
      </c>
      <c r="H24" s="40">
        <f t="shared" si="3"/>
        <v>0</v>
      </c>
      <c r="I24" s="26" t="s">
        <v>55</v>
      </c>
    </row>
    <row r="25" spans="1:9" ht="16" x14ac:dyDescent="0.2">
      <c r="A25" s="13" t="s">
        <v>7</v>
      </c>
      <c r="B25" s="14"/>
      <c r="C25" s="5">
        <f t="shared" si="0"/>
        <v>1.04</v>
      </c>
      <c r="D25" s="6" t="s">
        <v>24</v>
      </c>
      <c r="E25" s="1" t="e">
        <f t="shared" si="1"/>
        <v>#REF!</v>
      </c>
      <c r="F25" s="5" t="e">
        <f t="shared" si="2"/>
        <v>#REF!</v>
      </c>
      <c r="G25" s="6" t="s">
        <v>24</v>
      </c>
      <c r="H25" s="40" t="e">
        <f t="shared" si="3"/>
        <v>#REF!</v>
      </c>
      <c r="I25" s="26" t="s">
        <v>55</v>
      </c>
    </row>
    <row r="26" spans="1:9" ht="16" x14ac:dyDescent="0.2">
      <c r="A26" s="13" t="s">
        <v>47</v>
      </c>
      <c r="B26" s="14"/>
      <c r="C26" s="38" t="e">
        <f>LOOKUP(D14,P$6:P$15,Q$6:Q$15)</f>
        <v>#REF!</v>
      </c>
      <c r="D26" s="6" t="s">
        <v>24</v>
      </c>
      <c r="E26" s="1" t="e">
        <f t="shared" si="1"/>
        <v>#REF!</v>
      </c>
      <c r="F26" s="5">
        <f>IFERROR(C26*E26,0)</f>
        <v>0</v>
      </c>
      <c r="G26" s="6" t="s">
        <v>24</v>
      </c>
      <c r="H26" s="40">
        <f t="shared" si="3"/>
        <v>0</v>
      </c>
      <c r="I26" s="26" t="s">
        <v>55</v>
      </c>
    </row>
    <row r="27" spans="1:9" ht="17" thickBot="1" x14ac:dyDescent="0.25">
      <c r="A27" s="5" t="s">
        <v>3</v>
      </c>
      <c r="B27" s="6"/>
      <c r="C27" s="84" t="e">
        <f t="shared" si="0"/>
        <v>#REF!</v>
      </c>
      <c r="D27" s="14" t="s">
        <v>24</v>
      </c>
      <c r="E27" s="15" t="e">
        <f t="shared" si="1"/>
        <v>#REF!</v>
      </c>
      <c r="F27" s="13">
        <f>IFERROR(C27*E27,0)</f>
        <v>0</v>
      </c>
      <c r="G27" s="14" t="s">
        <v>24</v>
      </c>
      <c r="H27" s="77">
        <f t="shared" si="3"/>
        <v>0</v>
      </c>
      <c r="I27" s="78" t="s">
        <v>55</v>
      </c>
    </row>
    <row r="28" spans="1:9" ht="17" thickBot="1" x14ac:dyDescent="0.25">
      <c r="A28" s="3"/>
      <c r="B28" s="3"/>
      <c r="C28" s="132" t="s">
        <v>85</v>
      </c>
      <c r="D28" s="133"/>
      <c r="E28" s="133"/>
      <c r="F28" s="80" t="e">
        <f>SUM(F21,F22,F24,F25,F27)</f>
        <v>#REF!</v>
      </c>
      <c r="G28" s="81" t="s">
        <v>24</v>
      </c>
      <c r="H28" s="82" t="e">
        <f>SUM(H21,H22,H24,H25,H27)</f>
        <v>#REF!</v>
      </c>
      <c r="I28" s="76" t="s">
        <v>55</v>
      </c>
    </row>
    <row r="29" spans="1:9" ht="17" thickBot="1" x14ac:dyDescent="0.25">
      <c r="A29" s="3"/>
      <c r="B29" s="3"/>
      <c r="C29" s="134" t="s">
        <v>84</v>
      </c>
      <c r="D29" s="135"/>
      <c r="E29" s="136"/>
      <c r="F29" s="85" t="e">
        <f>SUM(F21,F23,F24,F25,F26,F27)</f>
        <v>#REF!</v>
      </c>
      <c r="G29" s="79" t="s">
        <v>24</v>
      </c>
      <c r="H29" s="83" t="e">
        <f>SUM(H21,H23,H24,H25,H26,H27)</f>
        <v>#REF!</v>
      </c>
      <c r="I29" s="76" t="s">
        <v>55</v>
      </c>
    </row>
    <row r="34" ht="28.25" customHeight="1" x14ac:dyDescent="0.2"/>
  </sheetData>
  <sheetProtection deleteColumns="0" deleteRows="0"/>
  <mergeCells count="8">
    <mergeCell ref="C28:E28"/>
    <mergeCell ref="C29:E29"/>
    <mergeCell ref="C4:H4"/>
    <mergeCell ref="E8:G8"/>
    <mergeCell ref="H15:O15"/>
    <mergeCell ref="A18:H18"/>
    <mergeCell ref="C20:D20"/>
    <mergeCell ref="F20:I20"/>
  </mergeCells>
  <pageMargins left="0.7" right="0.7" top="0.75" bottom="0.75" header="0.3" footer="0.3"/>
  <pageSetup paperSize="5" scale="50" orientation="portrait" r:id="rId1"/>
  <headerFooter>
    <oddFooter xml:space="preserve">&amp;LDocument Number: 5492103    Version: 1_x000D_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R37"/>
  <sheetViews>
    <sheetView zoomScale="80" zoomScaleNormal="80" workbookViewId="0">
      <selection activeCell="S32" sqref="S32"/>
    </sheetView>
  </sheetViews>
  <sheetFormatPr baseColWidth="10" defaultColWidth="8.83203125" defaultRowHeight="15" x14ac:dyDescent="0.2"/>
  <cols>
    <col min="1" max="1" width="48.33203125" customWidth="1"/>
    <col min="2" max="2" width="9.33203125" customWidth="1"/>
    <col min="3" max="4" width="10" customWidth="1"/>
    <col min="5" max="5" width="10.33203125" customWidth="1"/>
    <col min="6" max="6" width="9.33203125" customWidth="1"/>
    <col min="8" max="8" width="10.33203125" customWidth="1"/>
    <col min="16" max="16" width="10.83203125" customWidth="1"/>
  </cols>
  <sheetData>
    <row r="1" spans="1:18" x14ac:dyDescent="0.2">
      <c r="A1" s="3" t="s">
        <v>71</v>
      </c>
      <c r="E1" s="7"/>
      <c r="F1" s="8" t="s">
        <v>28</v>
      </c>
    </row>
    <row r="2" spans="1:18" x14ac:dyDescent="0.2">
      <c r="P2" s="31" t="s">
        <v>27</v>
      </c>
      <c r="Q2" s="32"/>
      <c r="R2" s="32"/>
    </row>
    <row r="3" spans="1:18" x14ac:dyDescent="0.2">
      <c r="A3" s="9" t="s">
        <v>30</v>
      </c>
      <c r="B3" s="9"/>
      <c r="C3" s="10"/>
      <c r="D3" s="10"/>
      <c r="E3" s="10"/>
      <c r="F3" s="10"/>
      <c r="G3" s="10"/>
      <c r="H3" s="10"/>
      <c r="I3" s="10"/>
      <c r="P3" s="32"/>
      <c r="Q3" s="32"/>
      <c r="R3" s="32"/>
    </row>
    <row r="4" spans="1:18" x14ac:dyDescent="0.2">
      <c r="A4" s="45" t="s">
        <v>54</v>
      </c>
      <c r="B4" s="46">
        <v>10</v>
      </c>
      <c r="C4" s="146" t="str">
        <f>IF(B4&gt;100,"Total number of units must be 100 or less.  If greater than 100 then it is recommended that you discuss options with your waste hauler","")</f>
        <v/>
      </c>
      <c r="D4" s="124"/>
      <c r="E4" s="124"/>
      <c r="F4" s="124"/>
      <c r="G4" s="124"/>
      <c r="H4" s="124"/>
      <c r="P4" s="32"/>
      <c r="Q4" s="32"/>
      <c r="R4" s="32"/>
    </row>
    <row r="5" spans="1:18" x14ac:dyDescent="0.2">
      <c r="A5" s="28"/>
      <c r="P5" s="31" t="s">
        <v>9</v>
      </c>
      <c r="Q5" s="32"/>
      <c r="R5" s="32"/>
    </row>
    <row r="6" spans="1:18" x14ac:dyDescent="0.2">
      <c r="A6" s="9" t="s">
        <v>6</v>
      </c>
      <c r="B6" s="9"/>
      <c r="C6" s="10"/>
      <c r="D6" s="10"/>
      <c r="E6" s="10"/>
      <c r="F6" s="10"/>
      <c r="G6" s="10"/>
      <c r="H6" s="10"/>
      <c r="I6" s="10"/>
      <c r="P6" s="32" t="s">
        <v>8</v>
      </c>
      <c r="Q6" s="32" t="s">
        <v>23</v>
      </c>
      <c r="R6" s="32"/>
    </row>
    <row r="7" spans="1:18" x14ac:dyDescent="0.2">
      <c r="A7" s="128" t="s">
        <v>88</v>
      </c>
      <c r="B7" s="128"/>
      <c r="C7" s="128"/>
      <c r="D7" s="128"/>
      <c r="E7" s="128"/>
      <c r="F7" s="128"/>
      <c r="G7" s="128"/>
      <c r="H7" s="128"/>
      <c r="P7" s="32" t="s">
        <v>78</v>
      </c>
      <c r="Q7" s="58">
        <v>0</v>
      </c>
      <c r="R7" s="32" t="s">
        <v>73</v>
      </c>
    </row>
    <row r="8" spans="1:18" x14ac:dyDescent="0.2">
      <c r="A8" s="56"/>
      <c r="B8" s="56"/>
      <c r="C8" s="56"/>
      <c r="D8" s="56"/>
      <c r="E8" s="56"/>
      <c r="F8" s="56"/>
      <c r="G8" s="56"/>
      <c r="H8" s="56"/>
      <c r="P8" s="32" t="s">
        <v>10</v>
      </c>
      <c r="Q8" s="32">
        <v>0.74</v>
      </c>
      <c r="R8" s="32" t="s">
        <v>73</v>
      </c>
    </row>
    <row r="9" spans="1:18" ht="16" x14ac:dyDescent="0.2">
      <c r="A9" s="22" t="str">
        <f>A4</f>
        <v>Townhouse</v>
      </c>
      <c r="B9" s="23"/>
      <c r="C9" s="24"/>
      <c r="D9" s="24"/>
      <c r="E9" s="24"/>
      <c r="F9" s="24"/>
      <c r="G9" s="24"/>
      <c r="H9" s="24"/>
      <c r="I9" s="24"/>
      <c r="P9" s="32" t="s">
        <v>11</v>
      </c>
      <c r="Q9" s="32">
        <v>1.04</v>
      </c>
      <c r="R9" s="32" t="s">
        <v>73</v>
      </c>
    </row>
    <row r="10" spans="1:18" ht="32" x14ac:dyDescent="0.2">
      <c r="A10" s="4"/>
      <c r="B10" s="3"/>
      <c r="C10" s="55" t="s">
        <v>0</v>
      </c>
      <c r="D10" s="57" t="s">
        <v>8</v>
      </c>
      <c r="E10" s="127" t="s">
        <v>4</v>
      </c>
      <c r="F10" s="127"/>
      <c r="G10" s="127"/>
      <c r="P10" s="32" t="s">
        <v>12</v>
      </c>
      <c r="Q10" s="32">
        <v>1.37</v>
      </c>
      <c r="R10" s="32" t="s">
        <v>73</v>
      </c>
    </row>
    <row r="11" spans="1:18" ht="16" x14ac:dyDescent="0.2">
      <c r="A11" s="5" t="s">
        <v>1</v>
      </c>
      <c r="B11" s="6"/>
      <c r="C11" s="30" t="e">
        <f>VLOOKUP($B$4,#REF!,3,TRUE)</f>
        <v>#REF!</v>
      </c>
      <c r="D11" s="30" t="s">
        <v>12</v>
      </c>
      <c r="E11" s="30" t="s">
        <v>20</v>
      </c>
      <c r="F11" s="30" t="s">
        <v>22</v>
      </c>
      <c r="G11" s="30" t="s">
        <v>21</v>
      </c>
      <c r="P11" s="32" t="s">
        <v>65</v>
      </c>
      <c r="Q11" s="32">
        <v>4.41</v>
      </c>
      <c r="R11" s="32" t="s">
        <v>73</v>
      </c>
    </row>
    <row r="12" spans="1:18" ht="16" x14ac:dyDescent="0.2">
      <c r="A12" s="5" t="s">
        <v>69</v>
      </c>
      <c r="B12" s="6"/>
      <c r="C12" s="30" t="e">
        <f>VLOOKUP($B$4,#REF!,4,TRUE)</f>
        <v>#REF!</v>
      </c>
      <c r="D12" s="30" t="s">
        <v>11</v>
      </c>
      <c r="E12" s="30" t="s">
        <v>20</v>
      </c>
      <c r="F12" s="30" t="s">
        <v>22</v>
      </c>
      <c r="G12" s="30" t="s">
        <v>21</v>
      </c>
      <c r="P12" s="32" t="s">
        <v>76</v>
      </c>
      <c r="Q12" s="32">
        <v>5.64</v>
      </c>
      <c r="R12" s="32" t="s">
        <v>73</v>
      </c>
    </row>
    <row r="13" spans="1:18" ht="16" x14ac:dyDescent="0.2">
      <c r="A13" s="5" t="s">
        <v>70</v>
      </c>
      <c r="B13" s="6"/>
      <c r="C13" s="30" t="e">
        <f>VLOOKUP($B$4,#REF!,5,TRUE)</f>
        <v>#REF!</v>
      </c>
      <c r="D13" s="30" t="s">
        <v>12</v>
      </c>
      <c r="E13" s="30" t="s">
        <v>20</v>
      </c>
      <c r="F13" s="30" t="s">
        <v>22</v>
      </c>
      <c r="G13" s="30" t="s">
        <v>21</v>
      </c>
      <c r="P13" s="32" t="s">
        <v>77</v>
      </c>
      <c r="Q13" s="32">
        <v>6.91</v>
      </c>
      <c r="R13" s="32" t="s">
        <v>73</v>
      </c>
    </row>
    <row r="14" spans="1:18" ht="16" x14ac:dyDescent="0.2">
      <c r="A14" s="5" t="s">
        <v>2</v>
      </c>
      <c r="B14" s="6"/>
      <c r="C14" s="30" t="e">
        <f>VLOOKUP($B$4,#REF!,6,TRUE)</f>
        <v>#REF!</v>
      </c>
      <c r="D14" s="30" t="s">
        <v>10</v>
      </c>
      <c r="E14" s="30" t="s">
        <v>20</v>
      </c>
      <c r="F14" s="30" t="s">
        <v>22</v>
      </c>
      <c r="G14" s="30" t="s">
        <v>21</v>
      </c>
      <c r="P14" s="32" t="s">
        <v>72</v>
      </c>
      <c r="Q14" s="32">
        <v>0.47</v>
      </c>
      <c r="R14" s="32" t="s">
        <v>73</v>
      </c>
    </row>
    <row r="15" spans="1:18" ht="16" x14ac:dyDescent="0.2">
      <c r="A15" s="5" t="s">
        <v>7</v>
      </c>
      <c r="B15" s="6"/>
      <c r="C15" s="30" t="e">
        <f>VLOOKUP($B$4,#REF!,7,TRUE)</f>
        <v>#REF!</v>
      </c>
      <c r="D15" s="30" t="s">
        <v>11</v>
      </c>
      <c r="E15" s="30" t="s">
        <v>20</v>
      </c>
      <c r="F15" s="30" t="s">
        <v>22</v>
      </c>
      <c r="G15" s="30" t="s">
        <v>21</v>
      </c>
      <c r="P15" s="32" t="s">
        <v>58</v>
      </c>
      <c r="Q15" s="32">
        <v>0</v>
      </c>
      <c r="R15" s="32" t="s">
        <v>75</v>
      </c>
    </row>
    <row r="16" spans="1:18" ht="16" x14ac:dyDescent="0.2">
      <c r="A16" s="5" t="s">
        <v>47</v>
      </c>
      <c r="B16" s="6"/>
      <c r="C16" s="30" t="e">
        <f>VLOOKUP($B$4,#REF!,8,TRUE)</f>
        <v>#REF!</v>
      </c>
      <c r="D16" s="30" t="e">
        <f>VLOOKUP($B$4,#REF!,9,TRUE)</f>
        <v>#REF!</v>
      </c>
      <c r="E16" s="30" t="s">
        <v>20</v>
      </c>
      <c r="F16" s="30" t="s">
        <v>22</v>
      </c>
      <c r="G16" s="30" t="s">
        <v>21</v>
      </c>
      <c r="P16" s="32" t="s">
        <v>18</v>
      </c>
      <c r="Q16" s="32">
        <v>0</v>
      </c>
      <c r="R16" s="32" t="s">
        <v>75</v>
      </c>
    </row>
    <row r="17" spans="1:9" ht="16" x14ac:dyDescent="0.2">
      <c r="A17" s="5" t="s">
        <v>3</v>
      </c>
      <c r="B17" s="6"/>
      <c r="C17" s="30" t="e">
        <f>VLOOKUP($B$4,#REF!,10,TRUE)</f>
        <v>#REF!</v>
      </c>
      <c r="D17" s="30" t="e">
        <f>VLOOKUP($B$4,#REF!,11,TRUE)</f>
        <v>#REF!</v>
      </c>
      <c r="E17" s="30" t="s">
        <v>20</v>
      </c>
      <c r="F17" s="30" t="s">
        <v>22</v>
      </c>
      <c r="G17" s="30" t="s">
        <v>21</v>
      </c>
    </row>
    <row r="18" spans="1:9" x14ac:dyDescent="0.2">
      <c r="A18" s="4"/>
      <c r="B18" s="4"/>
      <c r="C18" s="39"/>
      <c r="D18" s="39"/>
      <c r="E18" s="39"/>
      <c r="F18" s="39"/>
      <c r="G18" s="39"/>
    </row>
    <row r="19" spans="1:9" ht="35.5" customHeight="1" x14ac:dyDescent="0.2">
      <c r="A19" s="147" t="s">
        <v>87</v>
      </c>
      <c r="B19" s="147"/>
      <c r="C19" s="147"/>
      <c r="D19" s="147"/>
      <c r="E19" s="147"/>
      <c r="F19" s="147"/>
      <c r="G19" s="147"/>
      <c r="H19" s="147"/>
      <c r="I19" s="147"/>
    </row>
    <row r="20" spans="1:9" ht="14.5" hidden="1" customHeight="1" x14ac:dyDescent="0.2">
      <c r="A20" s="147"/>
      <c r="B20" s="147"/>
      <c r="C20" s="147"/>
      <c r="D20" s="147"/>
      <c r="E20" s="147"/>
      <c r="F20" s="147"/>
      <c r="G20" s="147"/>
      <c r="H20" s="147"/>
      <c r="I20" s="147"/>
    </row>
    <row r="21" spans="1:9" x14ac:dyDescent="0.2">
      <c r="A21" s="4"/>
      <c r="B21" s="4"/>
      <c r="C21" s="39"/>
      <c r="D21" s="39"/>
      <c r="E21" s="39"/>
      <c r="F21" s="39"/>
      <c r="G21" s="39"/>
    </row>
    <row r="22" spans="1:9" ht="14.5" customHeight="1" x14ac:dyDescent="0.2">
      <c r="A22" s="9" t="s">
        <v>19</v>
      </c>
      <c r="B22" s="10"/>
      <c r="C22" s="11"/>
      <c r="D22" s="11"/>
      <c r="E22" s="12"/>
      <c r="F22" s="10"/>
      <c r="G22" s="12"/>
      <c r="H22" s="10"/>
      <c r="I22" s="10"/>
    </row>
    <row r="23" spans="1:9" ht="14.5" customHeight="1" x14ac:dyDescent="0.2">
      <c r="A23" s="128" t="s">
        <v>53</v>
      </c>
      <c r="B23" s="128"/>
      <c r="C23" s="128"/>
      <c r="D23" s="128"/>
      <c r="E23" s="128"/>
      <c r="F23" s="128"/>
      <c r="G23" s="128"/>
      <c r="H23" s="128"/>
    </row>
    <row r="24" spans="1:9" ht="14.5" customHeight="1" x14ac:dyDescent="0.2">
      <c r="A24" s="56"/>
      <c r="B24" s="56"/>
      <c r="C24" s="56"/>
      <c r="D24" s="56"/>
      <c r="E24" s="56"/>
      <c r="F24" s="56"/>
      <c r="G24" s="56"/>
      <c r="H24" s="56"/>
    </row>
    <row r="25" spans="1:9" ht="16" x14ac:dyDescent="0.2">
      <c r="A25" s="22" t="str">
        <f>A4</f>
        <v>Townhouse</v>
      </c>
      <c r="B25" s="23"/>
      <c r="C25" s="24"/>
      <c r="D25" s="24"/>
      <c r="E25" s="24"/>
      <c r="F25" s="24"/>
      <c r="G25" s="24"/>
      <c r="H25" s="24"/>
      <c r="I25" s="24"/>
    </row>
    <row r="26" spans="1:9" ht="32" x14ac:dyDescent="0.2">
      <c r="A26" s="3"/>
      <c r="C26" s="144" t="s">
        <v>32</v>
      </c>
      <c r="D26" s="144"/>
      <c r="E26" s="55" t="s">
        <v>0</v>
      </c>
      <c r="F26" s="144" t="s">
        <v>25</v>
      </c>
      <c r="G26" s="144"/>
      <c r="H26" s="144"/>
      <c r="I26" s="144"/>
    </row>
    <row r="27" spans="1:9" ht="16" x14ac:dyDescent="0.2">
      <c r="A27" s="5" t="s">
        <v>1</v>
      </c>
      <c r="B27" s="6"/>
      <c r="C27" s="5">
        <f>LOOKUP(D11,P$6:P$14,Q$6:Q$14)</f>
        <v>1.37</v>
      </c>
      <c r="D27" s="26" t="s">
        <v>75</v>
      </c>
      <c r="E27" s="1" t="e">
        <f t="shared" ref="E27:E33" si="0">C11</f>
        <v>#REF!</v>
      </c>
      <c r="F27" s="40" t="e">
        <f>IF(C27&gt;0, C27*E27,0)</f>
        <v>#REF!</v>
      </c>
      <c r="G27" s="26" t="s">
        <v>75</v>
      </c>
      <c r="H27" s="40" t="e">
        <f>F27*10.7639</f>
        <v>#REF!</v>
      </c>
      <c r="I27" s="26" t="s">
        <v>74</v>
      </c>
    </row>
    <row r="28" spans="1:9" ht="16" x14ac:dyDescent="0.2">
      <c r="A28" s="5" t="s">
        <v>69</v>
      </c>
      <c r="B28" s="6"/>
      <c r="C28" s="5">
        <f>LOOKUP(D12,P$6:P$13,Q$6:Q$13)</f>
        <v>1.04</v>
      </c>
      <c r="D28" s="26" t="s">
        <v>75</v>
      </c>
      <c r="E28" s="1" t="e">
        <f t="shared" si="0"/>
        <v>#REF!</v>
      </c>
      <c r="F28" s="25" t="e">
        <f t="shared" ref="F28:F31" si="1">IF(C28&gt;0, C28*E28,0)</f>
        <v>#REF!</v>
      </c>
      <c r="G28" s="26" t="s">
        <v>75</v>
      </c>
      <c r="H28" s="40" t="e">
        <f>F28*10.7639</f>
        <v>#REF!</v>
      </c>
      <c r="I28" s="26" t="s">
        <v>74</v>
      </c>
    </row>
    <row r="29" spans="1:9" ht="16" x14ac:dyDescent="0.2">
      <c r="A29" s="5" t="s">
        <v>70</v>
      </c>
      <c r="B29" s="6"/>
      <c r="C29" s="5">
        <f>LOOKUP(D13,P$6:P$13,Q$6:Q$13)</f>
        <v>1.37</v>
      </c>
      <c r="D29" s="26" t="s">
        <v>75</v>
      </c>
      <c r="E29" s="1" t="e">
        <f t="shared" si="0"/>
        <v>#REF!</v>
      </c>
      <c r="F29" s="25">
        <f>IF(AND(C29&gt;0,ISNUMBER(E29)), C29*E29,0)</f>
        <v>0</v>
      </c>
      <c r="G29" s="26" t="s">
        <v>75</v>
      </c>
      <c r="H29" s="40">
        <f t="shared" ref="H29:H33" si="2">F29*10.7639</f>
        <v>0</v>
      </c>
      <c r="I29" s="26" t="s">
        <v>74</v>
      </c>
    </row>
    <row r="30" spans="1:9" ht="16" x14ac:dyDescent="0.2">
      <c r="A30" s="5" t="s">
        <v>2</v>
      </c>
      <c r="B30" s="6"/>
      <c r="C30" s="5">
        <f>LOOKUP(D14,P$7:P$14,Q$7:Q$14)</f>
        <v>0.74</v>
      </c>
      <c r="D30" s="26" t="s">
        <v>75</v>
      </c>
      <c r="E30" s="1" t="e">
        <f t="shared" si="0"/>
        <v>#REF!</v>
      </c>
      <c r="F30" s="25" t="e">
        <f t="shared" si="1"/>
        <v>#REF!</v>
      </c>
      <c r="G30" s="26" t="s">
        <v>75</v>
      </c>
      <c r="H30" s="40" t="e">
        <f t="shared" si="2"/>
        <v>#REF!</v>
      </c>
      <c r="I30" s="26" t="s">
        <v>74</v>
      </c>
    </row>
    <row r="31" spans="1:9" ht="16" x14ac:dyDescent="0.2">
      <c r="A31" s="5" t="s">
        <v>7</v>
      </c>
      <c r="B31" s="6"/>
      <c r="C31" s="5">
        <f>LOOKUP(D15,P$6:P$13,Q$6:Q$13)</f>
        <v>1.04</v>
      </c>
      <c r="D31" s="26" t="s">
        <v>75</v>
      </c>
      <c r="E31" s="1" t="e">
        <f t="shared" si="0"/>
        <v>#REF!</v>
      </c>
      <c r="F31" s="25" t="e">
        <f t="shared" si="1"/>
        <v>#REF!</v>
      </c>
      <c r="G31" s="26" t="s">
        <v>75</v>
      </c>
      <c r="H31" s="40" t="e">
        <f t="shared" si="2"/>
        <v>#REF!</v>
      </c>
      <c r="I31" s="26" t="s">
        <v>74</v>
      </c>
    </row>
    <row r="32" spans="1:9" ht="16" x14ac:dyDescent="0.2">
      <c r="A32" s="5" t="s">
        <v>47</v>
      </c>
      <c r="B32" s="6"/>
      <c r="C32" s="5" t="e">
        <f>LOOKUP(D16,P$6:P$16,Q$6:Q$16)</f>
        <v>#REF!</v>
      </c>
      <c r="D32" s="26" t="s">
        <v>75</v>
      </c>
      <c r="E32" s="1" t="e">
        <f t="shared" si="0"/>
        <v>#REF!</v>
      </c>
      <c r="F32" s="40" t="e">
        <f>IF(AND(C32&gt;0,ISNUMBER(E32)), C32*E32,0)</f>
        <v>#REF!</v>
      </c>
      <c r="G32" s="26" t="s">
        <v>75</v>
      </c>
      <c r="H32" s="40" t="e">
        <f t="shared" si="2"/>
        <v>#REF!</v>
      </c>
      <c r="I32" s="26" t="s">
        <v>74</v>
      </c>
    </row>
    <row r="33" spans="1:9" ht="16" x14ac:dyDescent="0.2">
      <c r="A33" s="5" t="s">
        <v>3</v>
      </c>
      <c r="B33" s="6"/>
      <c r="C33" s="5" t="e">
        <f t="shared" ref="C33" si="3">LOOKUP(D17,P$6:P$14,Q$6:Q$14)</f>
        <v>#REF!</v>
      </c>
      <c r="D33" s="26" t="s">
        <v>75</v>
      </c>
      <c r="E33" s="15" t="e">
        <f t="shared" si="0"/>
        <v>#REF!</v>
      </c>
      <c r="F33" s="40">
        <f>IFERROR(C33*E33,0)</f>
        <v>0</v>
      </c>
      <c r="G33" s="26" t="s">
        <v>75</v>
      </c>
      <c r="H33" s="40">
        <f t="shared" si="2"/>
        <v>0</v>
      </c>
      <c r="I33" s="26" t="s">
        <v>74</v>
      </c>
    </row>
    <row r="34" spans="1:9" ht="16" x14ac:dyDescent="0.2">
      <c r="A34" s="129" t="s">
        <v>26</v>
      </c>
      <c r="B34" s="130"/>
      <c r="C34" s="16"/>
      <c r="D34" s="17"/>
      <c r="E34" s="18"/>
      <c r="F34" s="19" t="e">
        <f>SUM(F27:F33)</f>
        <v>#REF!</v>
      </c>
      <c r="G34" s="41" t="s">
        <v>75</v>
      </c>
      <c r="H34" s="42" t="e">
        <f>SUM(H27:H33)</f>
        <v>#REF!</v>
      </c>
      <c r="I34" s="41" t="s">
        <v>74</v>
      </c>
    </row>
    <row r="35" spans="1:9" x14ac:dyDescent="0.2">
      <c r="A35" s="145" t="s">
        <v>46</v>
      </c>
      <c r="B35" s="145"/>
      <c r="C35" s="145"/>
      <c r="D35" s="145"/>
      <c r="E35" s="145"/>
      <c r="F35" s="145"/>
      <c r="G35" s="145"/>
    </row>
    <row r="37" spans="1:9" x14ac:dyDescent="0.2">
      <c r="A37" s="3" t="s">
        <v>49</v>
      </c>
      <c r="B37" s="3" t="e">
        <f>F34</f>
        <v>#REF!</v>
      </c>
      <c r="C37" s="3" t="str">
        <f>G34</f>
        <v>m²</v>
      </c>
    </row>
  </sheetData>
  <mergeCells count="9">
    <mergeCell ref="A34:B34"/>
    <mergeCell ref="A35:G35"/>
    <mergeCell ref="C4:H4"/>
    <mergeCell ref="A7:H7"/>
    <mergeCell ref="E10:G10"/>
    <mergeCell ref="A23:H23"/>
    <mergeCell ref="C26:D26"/>
    <mergeCell ref="F26:I26"/>
    <mergeCell ref="A19:I20"/>
  </mergeCells>
  <pageMargins left="0.25" right="0.25" top="0.5" bottom="0.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O135"/>
  <sheetViews>
    <sheetView view="pageBreakPreview" zoomScale="70" zoomScaleNormal="70" zoomScaleSheetLayoutView="70" workbookViewId="0">
      <selection activeCell="D26" sqref="D26"/>
    </sheetView>
  </sheetViews>
  <sheetFormatPr baseColWidth="10" defaultColWidth="8.83203125" defaultRowHeight="15" x14ac:dyDescent="0.2"/>
  <cols>
    <col min="1" max="1" width="41.6640625" customWidth="1"/>
    <col min="2" max="2" width="11.6640625" customWidth="1"/>
    <col min="3" max="3" width="12.6640625" customWidth="1"/>
    <col min="4" max="4" width="12.5" customWidth="1"/>
    <col min="5" max="5" width="10.33203125" customWidth="1"/>
    <col min="6" max="6" width="8.1640625" bestFit="1" customWidth="1"/>
    <col min="10" max="10" width="46.33203125" customWidth="1"/>
    <col min="11" max="11" width="10.6640625" customWidth="1"/>
  </cols>
  <sheetData>
    <row r="1" spans="1:15" x14ac:dyDescent="0.2">
      <c r="A1" s="3" t="s">
        <v>31</v>
      </c>
      <c r="E1" s="7"/>
      <c r="F1" s="8" t="s">
        <v>28</v>
      </c>
    </row>
    <row r="2" spans="1:15" x14ac:dyDescent="0.2">
      <c r="M2" s="31" t="s">
        <v>27</v>
      </c>
      <c r="N2" s="32"/>
      <c r="O2" s="32"/>
    </row>
    <row r="3" spans="1:15" x14ac:dyDescent="0.2">
      <c r="A3" s="9" t="s">
        <v>33</v>
      </c>
      <c r="B3" s="9"/>
      <c r="C3" s="10"/>
      <c r="D3" s="10"/>
      <c r="E3" s="10"/>
      <c r="F3" s="10"/>
      <c r="G3" s="10"/>
      <c r="H3" s="10"/>
      <c r="I3" s="10"/>
      <c r="J3" s="10"/>
      <c r="K3" s="10"/>
      <c r="M3" s="32" t="s">
        <v>8</v>
      </c>
      <c r="N3" s="32" t="s">
        <v>23</v>
      </c>
      <c r="O3" s="32"/>
    </row>
    <row r="4" spans="1:15" x14ac:dyDescent="0.2">
      <c r="A4" s="3"/>
      <c r="B4" s="3"/>
      <c r="M4" s="32" t="s">
        <v>10</v>
      </c>
      <c r="N4" s="32">
        <v>0.74</v>
      </c>
      <c r="O4" s="32" t="s">
        <v>73</v>
      </c>
    </row>
    <row r="5" spans="1:15" ht="29" customHeight="1" x14ac:dyDescent="0.2">
      <c r="B5" s="55" t="s">
        <v>66</v>
      </c>
      <c r="C5" s="55" t="s">
        <v>67</v>
      </c>
      <c r="D5" s="55" t="s">
        <v>68</v>
      </c>
      <c r="E5" s="55" t="s">
        <v>34</v>
      </c>
      <c r="F5" s="114" t="s">
        <v>35</v>
      </c>
      <c r="G5" s="115"/>
      <c r="J5" s="114" t="s">
        <v>61</v>
      </c>
      <c r="K5" s="115"/>
      <c r="M5" s="32" t="s">
        <v>51</v>
      </c>
      <c r="N5" s="32">
        <v>0.12</v>
      </c>
      <c r="O5" s="32" t="s">
        <v>24</v>
      </c>
    </row>
    <row r="6" spans="1:15" x14ac:dyDescent="0.2">
      <c r="A6" s="3" t="s">
        <v>44</v>
      </c>
      <c r="B6" s="21">
        <v>0</v>
      </c>
      <c r="C6" s="21">
        <v>0</v>
      </c>
      <c r="D6" s="21">
        <v>0</v>
      </c>
      <c r="E6" s="21">
        <v>0</v>
      </c>
      <c r="F6" s="117">
        <f>SUM(B6:E6)</f>
        <v>0</v>
      </c>
      <c r="G6" s="117"/>
      <c r="J6" s="21">
        <v>1000</v>
      </c>
      <c r="K6" s="47" t="s">
        <v>55</v>
      </c>
      <c r="M6" s="32" t="s">
        <v>11</v>
      </c>
      <c r="N6" s="32">
        <v>1.04</v>
      </c>
      <c r="O6" s="32" t="s">
        <v>73</v>
      </c>
    </row>
    <row r="7" spans="1:15" ht="42" customHeight="1" x14ac:dyDescent="0.2">
      <c r="A7" s="3"/>
      <c r="B7" s="121" t="s">
        <v>59</v>
      </c>
      <c r="C7" s="121"/>
      <c r="D7" s="121"/>
      <c r="E7" s="121"/>
      <c r="F7" s="121"/>
      <c r="G7" s="121"/>
      <c r="J7" s="53">
        <f>J6*0.092903</f>
        <v>92.903000000000006</v>
      </c>
      <c r="K7" s="54" t="s">
        <v>24</v>
      </c>
      <c r="M7" s="32" t="s">
        <v>12</v>
      </c>
      <c r="N7" s="32">
        <v>1.37</v>
      </c>
      <c r="O7" s="32" t="s">
        <v>73</v>
      </c>
    </row>
    <row r="8" spans="1:15" x14ac:dyDescent="0.2">
      <c r="C8" s="3"/>
      <c r="M8" s="32" t="s">
        <v>65</v>
      </c>
      <c r="N8" s="32">
        <v>4.41</v>
      </c>
      <c r="O8" s="32" t="s">
        <v>73</v>
      </c>
    </row>
    <row r="9" spans="1:15" x14ac:dyDescent="0.2">
      <c r="A9" s="3" t="s">
        <v>38</v>
      </c>
      <c r="B9" s="21">
        <v>0</v>
      </c>
      <c r="C9" t="s">
        <v>39</v>
      </c>
      <c r="M9" s="32" t="s">
        <v>78</v>
      </c>
      <c r="N9" s="58" t="s">
        <v>18</v>
      </c>
      <c r="O9" s="32" t="s">
        <v>73</v>
      </c>
    </row>
    <row r="10" spans="1:15" ht="32" customHeight="1" x14ac:dyDescent="0.2">
      <c r="A10" s="3"/>
      <c r="B10" s="124" t="s">
        <v>60</v>
      </c>
      <c r="C10" s="124"/>
      <c r="D10" s="124"/>
      <c r="E10" s="124"/>
      <c r="F10" s="124"/>
      <c r="G10" s="124"/>
      <c r="H10" s="124"/>
      <c r="M10" s="32" t="s">
        <v>76</v>
      </c>
      <c r="N10" s="32">
        <v>5.64</v>
      </c>
      <c r="O10" s="32" t="s">
        <v>73</v>
      </c>
    </row>
    <row r="11" spans="1:15" ht="29" customHeight="1" x14ac:dyDescent="0.2">
      <c r="A11" s="3"/>
      <c r="B11" s="60"/>
      <c r="C11" s="60"/>
      <c r="D11" s="60"/>
      <c r="E11" s="60"/>
      <c r="F11" s="60"/>
      <c r="G11" s="60"/>
      <c r="H11" s="60"/>
      <c r="M11" s="32" t="s">
        <v>77</v>
      </c>
      <c r="N11" s="32">
        <v>6.91</v>
      </c>
      <c r="O11" s="32" t="s">
        <v>73</v>
      </c>
    </row>
    <row r="12" spans="1:15" ht="48" customHeight="1" x14ac:dyDescent="0.2">
      <c r="A12" s="113" t="s">
        <v>62</v>
      </c>
      <c r="B12" s="113"/>
      <c r="C12" s="113"/>
      <c r="D12" s="113"/>
      <c r="E12" s="113"/>
      <c r="F12" s="113"/>
      <c r="G12" s="113"/>
      <c r="H12" s="113"/>
      <c r="I12" s="113"/>
      <c r="J12" s="113"/>
      <c r="K12" s="113"/>
      <c r="M12" s="32" t="s">
        <v>72</v>
      </c>
      <c r="N12" s="32">
        <v>0.47</v>
      </c>
      <c r="O12" s="32" t="s">
        <v>73</v>
      </c>
    </row>
    <row r="13" spans="1:15" x14ac:dyDescent="0.2">
      <c r="M13" s="32"/>
      <c r="N13" s="32"/>
      <c r="O13" s="32"/>
    </row>
    <row r="14" spans="1:15" x14ac:dyDescent="0.2">
      <c r="A14" s="9" t="s">
        <v>6</v>
      </c>
      <c r="B14" s="9"/>
      <c r="C14" s="10"/>
      <c r="D14" s="10"/>
      <c r="E14" s="10"/>
      <c r="F14" s="10"/>
      <c r="G14" s="10"/>
      <c r="H14" s="10"/>
      <c r="I14" s="10"/>
      <c r="J14" s="10"/>
      <c r="K14" s="10"/>
      <c r="M14" s="32"/>
      <c r="N14" s="32"/>
      <c r="O14" s="32"/>
    </row>
    <row r="15" spans="1:15" x14ac:dyDescent="0.2">
      <c r="A15" s="128"/>
      <c r="B15" s="128"/>
      <c r="C15" s="128"/>
      <c r="D15" s="128"/>
      <c r="E15" s="128"/>
      <c r="F15" s="128"/>
      <c r="G15" s="128"/>
      <c r="H15" s="128"/>
    </row>
    <row r="16" spans="1:15" x14ac:dyDescent="0.2">
      <c r="A16" s="4"/>
      <c r="B16" s="3"/>
    </row>
    <row r="17" spans="1:11" ht="14.5" customHeight="1" x14ac:dyDescent="0.2">
      <c r="A17" s="22" t="str">
        <f>B5</f>
        <v>Office, Childcare &amp; School</v>
      </c>
      <c r="B17" s="23"/>
      <c r="C17" s="24"/>
      <c r="D17" s="24"/>
      <c r="E17" s="24"/>
      <c r="F17" s="24"/>
      <c r="G17" s="24"/>
      <c r="H17" s="24"/>
      <c r="I17" s="24"/>
      <c r="J17" s="24"/>
      <c r="K17" s="24"/>
    </row>
    <row r="18" spans="1:11" ht="32" x14ac:dyDescent="0.2">
      <c r="A18" s="4"/>
      <c r="B18" s="3"/>
      <c r="C18" s="55" t="s">
        <v>0</v>
      </c>
      <c r="D18" s="57" t="s">
        <v>8</v>
      </c>
      <c r="E18" s="127" t="s">
        <v>4</v>
      </c>
      <c r="F18" s="127"/>
      <c r="G18" s="127"/>
    </row>
    <row r="19" spans="1:11" ht="16" x14ac:dyDescent="0.2">
      <c r="A19" s="13" t="s">
        <v>36</v>
      </c>
      <c r="B19" s="14"/>
      <c r="C19" s="30" t="e">
        <f>VLOOKUP($B$6,#REF!,3,TRUE)</f>
        <v>#REF!</v>
      </c>
      <c r="D19" s="30" t="s">
        <v>12</v>
      </c>
      <c r="E19" s="30" t="s">
        <v>20</v>
      </c>
      <c r="F19" s="30" t="s">
        <v>22</v>
      </c>
      <c r="G19" s="30" t="s">
        <v>21</v>
      </c>
    </row>
    <row r="20" spans="1:11" ht="16" x14ac:dyDescent="0.2">
      <c r="A20" s="13" t="s">
        <v>57</v>
      </c>
      <c r="B20" s="14"/>
      <c r="C20" s="30" t="e">
        <f>VLOOKUP($B$6,#REF!,11,TRUE)</f>
        <v>#REF!</v>
      </c>
      <c r="D20" s="30" t="s">
        <v>11</v>
      </c>
      <c r="E20" s="30" t="s">
        <v>20</v>
      </c>
      <c r="F20" s="30" t="s">
        <v>22</v>
      </c>
      <c r="G20" s="30" t="s">
        <v>21</v>
      </c>
    </row>
    <row r="21" spans="1:11" ht="30" customHeight="1" x14ac:dyDescent="0.2">
      <c r="A21" s="5" t="s">
        <v>37</v>
      </c>
      <c r="B21" s="27"/>
      <c r="C21" s="30" t="e">
        <f>VLOOKUP($B$6,#REF!,4,TRUE)</f>
        <v>#REF!</v>
      </c>
      <c r="D21" s="30" t="s">
        <v>12</v>
      </c>
      <c r="E21" s="30" t="s">
        <v>20</v>
      </c>
      <c r="F21" s="30" t="s">
        <v>22</v>
      </c>
      <c r="G21" s="30" t="s">
        <v>21</v>
      </c>
    </row>
    <row r="22" spans="1:11" ht="16" x14ac:dyDescent="0.2">
      <c r="A22" s="25" t="s">
        <v>40</v>
      </c>
      <c r="B22" s="26"/>
      <c r="C22" s="30" t="e">
        <f>VLOOKUP($B$6,#REF!,12,TRUE)</f>
        <v>#REF!</v>
      </c>
      <c r="D22" s="30" t="s">
        <v>10</v>
      </c>
      <c r="E22" s="30" t="s">
        <v>20</v>
      </c>
      <c r="F22" s="30" t="s">
        <v>22</v>
      </c>
      <c r="G22" s="30" t="s">
        <v>21</v>
      </c>
    </row>
    <row r="23" spans="1:11" ht="33" customHeight="1" x14ac:dyDescent="0.2">
      <c r="A23" s="5" t="s">
        <v>41</v>
      </c>
      <c r="B23" s="6"/>
      <c r="C23" s="30" t="e">
        <f>VLOOKUP($B$6,#REF!,5,TRUE)</f>
        <v>#REF!</v>
      </c>
      <c r="D23" s="30" t="s">
        <v>11</v>
      </c>
      <c r="E23" s="30" t="s">
        <v>20</v>
      </c>
      <c r="F23" s="30" t="s">
        <v>22</v>
      </c>
      <c r="G23" s="30" t="s">
        <v>21</v>
      </c>
      <c r="H23" s="146" t="str">
        <f>IF(B6&gt;1000,"It is more space efficient to use a compactor at this point.  Please consult with a waste service provider to discuss with containers are suitable.","")</f>
        <v/>
      </c>
      <c r="I23" s="124"/>
      <c r="J23" s="124"/>
      <c r="K23" s="60"/>
    </row>
    <row r="24" spans="1:11" ht="16" x14ac:dyDescent="0.2">
      <c r="A24" s="5" t="s">
        <v>42</v>
      </c>
      <c r="B24" s="6"/>
      <c r="C24" s="30" t="e">
        <f>VLOOKUP($B$6,#REF!,6,TRUE)</f>
        <v>#REF!</v>
      </c>
      <c r="D24" s="30" t="e">
        <f>VLOOKUP($B$6,#REF!,7,TRUE)</f>
        <v>#REF!</v>
      </c>
      <c r="E24" s="30" t="s">
        <v>20</v>
      </c>
      <c r="F24" s="30" t="s">
        <v>22</v>
      </c>
      <c r="G24" s="30" t="s">
        <v>21</v>
      </c>
    </row>
    <row r="25" spans="1:11" ht="16" x14ac:dyDescent="0.2">
      <c r="A25" s="5" t="s">
        <v>43</v>
      </c>
      <c r="B25" s="6"/>
      <c r="C25" s="30" t="e">
        <f>VLOOKUP($B$6,#REF!,8,TRUE)</f>
        <v>#REF!</v>
      </c>
      <c r="D25" s="30" t="e">
        <f>VLOOKUP($B$6,#REF!,9,TRUE)</f>
        <v>#REF!</v>
      </c>
      <c r="E25" s="30" t="s">
        <v>20</v>
      </c>
      <c r="F25" s="30" t="s">
        <v>22</v>
      </c>
      <c r="G25" s="30" t="s">
        <v>21</v>
      </c>
    </row>
    <row r="26" spans="1:11" x14ac:dyDescent="0.2">
      <c r="A26" s="4"/>
      <c r="B26" s="3"/>
    </row>
    <row r="27" spans="1:11" ht="16" x14ac:dyDescent="0.2">
      <c r="A27" s="22" t="str">
        <f>C5</f>
        <v>Retail, Light Industrial &amp; Warehouse</v>
      </c>
      <c r="B27" s="23"/>
      <c r="C27" s="24"/>
      <c r="D27" s="24"/>
      <c r="E27" s="24"/>
      <c r="F27" s="24"/>
      <c r="G27" s="24"/>
      <c r="H27" s="24"/>
      <c r="I27" s="24"/>
      <c r="J27" s="24"/>
      <c r="K27" s="24"/>
    </row>
    <row r="28" spans="1:11" ht="32" x14ac:dyDescent="0.2">
      <c r="A28" s="4"/>
      <c r="B28" s="3"/>
      <c r="C28" s="55" t="s">
        <v>0</v>
      </c>
      <c r="D28" s="57" t="s">
        <v>8</v>
      </c>
      <c r="E28" s="127" t="s">
        <v>4</v>
      </c>
      <c r="F28" s="127"/>
      <c r="G28" s="127"/>
    </row>
    <row r="29" spans="1:11" ht="30" customHeight="1" x14ac:dyDescent="0.2">
      <c r="A29" s="13" t="s">
        <v>36</v>
      </c>
      <c r="B29" s="14"/>
      <c r="C29" s="30" t="e">
        <f>VLOOKUP($C$6,#REF!,3,TRUE)</f>
        <v>#REF!</v>
      </c>
      <c r="D29" s="30" t="s">
        <v>12</v>
      </c>
      <c r="E29" s="30" t="s">
        <v>20</v>
      </c>
      <c r="F29" s="30" t="s">
        <v>22</v>
      </c>
      <c r="G29" s="30" t="s">
        <v>21</v>
      </c>
      <c r="H29" s="146" t="str">
        <f>IF(C6&gt;1000,"It is more space efficient to use a compactor at this point.  Please consult with a waste service provider to discuss with containers are suitable.","")</f>
        <v/>
      </c>
      <c r="I29" s="124"/>
      <c r="J29" s="124"/>
      <c r="K29" s="60"/>
    </row>
    <row r="30" spans="1:11" ht="16" x14ac:dyDescent="0.2">
      <c r="A30" s="13" t="s">
        <v>57</v>
      </c>
      <c r="B30" s="14"/>
      <c r="C30" s="30" t="e">
        <f>VLOOKUP($C$6,#REF!,10,TRUE)</f>
        <v>#REF!</v>
      </c>
      <c r="D30" s="30" t="s">
        <v>11</v>
      </c>
      <c r="E30" s="30" t="s">
        <v>20</v>
      </c>
      <c r="F30" s="30" t="s">
        <v>22</v>
      </c>
      <c r="G30" s="30" t="s">
        <v>21</v>
      </c>
    </row>
    <row r="31" spans="1:11" ht="30" customHeight="1" x14ac:dyDescent="0.2">
      <c r="A31" s="5" t="s">
        <v>37</v>
      </c>
      <c r="B31" s="27"/>
      <c r="C31" s="30" t="e">
        <f>VLOOKUP($C$6,#REF!,4,TRUE)</f>
        <v>#REF!</v>
      </c>
      <c r="D31" s="30" t="s">
        <v>12</v>
      </c>
      <c r="E31" s="30" t="s">
        <v>20</v>
      </c>
      <c r="F31" s="30" t="s">
        <v>22</v>
      </c>
      <c r="G31" s="30" t="s">
        <v>21</v>
      </c>
      <c r="H31" s="146" t="str">
        <f>IF(C6&gt;700,"It is more space efficient to use a compactor at this point.  Please consult with a waste service provider to discuss with containers are suitable.","")</f>
        <v/>
      </c>
      <c r="I31" s="124"/>
      <c r="J31" s="124"/>
      <c r="K31" s="60"/>
    </row>
    <row r="32" spans="1:11" ht="16" x14ac:dyDescent="0.2">
      <c r="A32" s="25" t="s">
        <v>40</v>
      </c>
      <c r="B32" s="26"/>
      <c r="C32" s="30" t="e">
        <f>VLOOKUP($C$6,#REF!,11,TRUE)</f>
        <v>#REF!</v>
      </c>
      <c r="D32" s="30" t="s">
        <v>10</v>
      </c>
      <c r="E32" s="30" t="s">
        <v>20</v>
      </c>
      <c r="F32" s="30" t="s">
        <v>22</v>
      </c>
      <c r="G32" s="30" t="s">
        <v>21</v>
      </c>
    </row>
    <row r="33" spans="1:11" ht="14.5" customHeight="1" x14ac:dyDescent="0.2">
      <c r="A33" s="5" t="s">
        <v>41</v>
      </c>
      <c r="B33" s="6"/>
      <c r="C33" s="30" t="e">
        <f>VLOOKUP($C$6,#REF!,5,TRUE)</f>
        <v>#REF!</v>
      </c>
      <c r="D33" s="30" t="s">
        <v>11</v>
      </c>
      <c r="E33" s="30" t="s">
        <v>20</v>
      </c>
      <c r="F33" s="30" t="s">
        <v>22</v>
      </c>
      <c r="G33" s="30" t="s">
        <v>21</v>
      </c>
    </row>
    <row r="34" spans="1:11" ht="27.5" customHeight="1" x14ac:dyDescent="0.2">
      <c r="A34" s="5" t="s">
        <v>42</v>
      </c>
      <c r="B34" s="6"/>
      <c r="C34" s="30" t="e">
        <f>VLOOKUP($C$6,#REF!,6,TRUE)</f>
        <v>#REF!</v>
      </c>
      <c r="D34" s="30" t="e">
        <f>VLOOKUP($B$6,#REF!,7,TRUE)</f>
        <v>#REF!</v>
      </c>
      <c r="E34" s="30" t="s">
        <v>20</v>
      </c>
      <c r="F34" s="30" t="s">
        <v>22</v>
      </c>
      <c r="G34" s="30" t="s">
        <v>21</v>
      </c>
    </row>
    <row r="35" spans="1:11" ht="16" x14ac:dyDescent="0.2">
      <c r="A35" s="5" t="s">
        <v>43</v>
      </c>
      <c r="B35" s="6"/>
      <c r="C35" s="30" t="e">
        <f>VLOOKUP($C$6,#REF!,8,TRUE)</f>
        <v>#REF!</v>
      </c>
      <c r="D35" s="30" t="e">
        <f>VLOOKUP($C$6,#REF!,9,TRUE)</f>
        <v>#REF!</v>
      </c>
      <c r="E35" s="30" t="s">
        <v>20</v>
      </c>
      <c r="F35" s="30" t="s">
        <v>22</v>
      </c>
      <c r="G35" s="30" t="s">
        <v>21</v>
      </c>
    </row>
    <row r="36" spans="1:11" x14ac:dyDescent="0.2">
      <c r="A36" s="4"/>
      <c r="B36" s="3"/>
    </row>
    <row r="37" spans="1:11" ht="28.25" customHeight="1" x14ac:dyDescent="0.2">
      <c r="A37" s="22" t="str">
        <f>D5</f>
        <v>Restaurant &amp; Grocery Store</v>
      </c>
      <c r="B37" s="23"/>
      <c r="C37" s="24"/>
      <c r="D37" s="24"/>
      <c r="E37" s="24"/>
      <c r="F37" s="24"/>
      <c r="G37" s="24"/>
      <c r="H37" s="24"/>
      <c r="I37" s="24"/>
      <c r="J37" s="24"/>
      <c r="K37" s="24"/>
    </row>
    <row r="38" spans="1:11" ht="32" x14ac:dyDescent="0.2">
      <c r="A38" s="4"/>
      <c r="B38" s="3"/>
      <c r="C38" s="55" t="s">
        <v>0</v>
      </c>
      <c r="D38" s="57" t="s">
        <v>8</v>
      </c>
      <c r="E38" s="127" t="s">
        <v>4</v>
      </c>
      <c r="F38" s="127"/>
      <c r="G38" s="127"/>
    </row>
    <row r="39" spans="1:11" ht="27" customHeight="1" x14ac:dyDescent="0.2">
      <c r="A39" s="13" t="s">
        <v>36</v>
      </c>
      <c r="B39" s="14"/>
      <c r="C39" s="30" t="e">
        <f>VLOOKUP($D$6,#REF!,3,TRUE)</f>
        <v>#REF!</v>
      </c>
      <c r="D39" s="30" t="s">
        <v>12</v>
      </c>
      <c r="E39" s="30" t="s">
        <v>20</v>
      </c>
      <c r="F39" s="30" t="s">
        <v>22</v>
      </c>
      <c r="G39" s="30" t="s">
        <v>21</v>
      </c>
      <c r="H39" s="146" t="str">
        <f>IF($D$6&gt;500,"It is more space efficient to use a compactor at this point.  Please consult with a waste service provider to discuss with containers are suitable.","")</f>
        <v/>
      </c>
      <c r="I39" s="124"/>
      <c r="J39" s="124"/>
      <c r="K39" s="60"/>
    </row>
    <row r="40" spans="1:11" ht="16" x14ac:dyDescent="0.2">
      <c r="A40" s="13" t="s">
        <v>57</v>
      </c>
      <c r="B40" s="14"/>
      <c r="C40" s="30" t="e">
        <f>VLOOKUP($D$6,#REF!,11,TRUE)</f>
        <v>#REF!</v>
      </c>
      <c r="D40" s="30" t="s">
        <v>11</v>
      </c>
      <c r="E40" s="30" t="s">
        <v>20</v>
      </c>
      <c r="F40" s="30" t="s">
        <v>22</v>
      </c>
      <c r="G40" s="30" t="s">
        <v>21</v>
      </c>
    </row>
    <row r="41" spans="1:11" ht="28.25" customHeight="1" x14ac:dyDescent="0.2">
      <c r="A41" s="5" t="s">
        <v>37</v>
      </c>
      <c r="B41" s="27"/>
      <c r="C41" s="30" t="e">
        <f>VLOOKUP($D$6,#REF!,4,TRUE)</f>
        <v>#REF!</v>
      </c>
      <c r="D41" s="30" t="s">
        <v>12</v>
      </c>
      <c r="E41" s="30" t="s">
        <v>20</v>
      </c>
      <c r="F41" s="30" t="s">
        <v>22</v>
      </c>
      <c r="G41" s="30" t="s">
        <v>21</v>
      </c>
      <c r="H41" s="146" t="str">
        <f>IF($D$6&gt;500,"It is more space efficient to use a compactor at this point.  Please consult with a waste service provider to discuss with containers are suitable.","")</f>
        <v/>
      </c>
      <c r="I41" s="124"/>
      <c r="J41" s="124"/>
      <c r="K41" s="60"/>
    </row>
    <row r="42" spans="1:11" ht="28.25" customHeight="1" x14ac:dyDescent="0.2">
      <c r="A42" s="25" t="s">
        <v>40</v>
      </c>
      <c r="B42" s="26"/>
      <c r="C42" s="30" t="e">
        <f>VLOOKUP($D$6,#REF!,12,TRUE)</f>
        <v>#REF!</v>
      </c>
      <c r="D42" s="30" t="s">
        <v>10</v>
      </c>
      <c r="E42" s="30" t="s">
        <v>20</v>
      </c>
      <c r="F42" s="30" t="s">
        <v>22</v>
      </c>
      <c r="G42" s="30" t="s">
        <v>21</v>
      </c>
    </row>
    <row r="43" spans="1:11" ht="30" customHeight="1" x14ac:dyDescent="0.2">
      <c r="A43" s="5" t="s">
        <v>41</v>
      </c>
      <c r="B43" s="6"/>
      <c r="C43" s="30" t="e">
        <f>VLOOKUP($D$6,#REF!,5,TRUE)</f>
        <v>#REF!</v>
      </c>
      <c r="D43" s="30" t="s">
        <v>11</v>
      </c>
      <c r="E43" s="30" t="s">
        <v>20</v>
      </c>
      <c r="F43" s="30" t="s">
        <v>22</v>
      </c>
      <c r="G43" s="30" t="s">
        <v>21</v>
      </c>
      <c r="H43" s="146" t="str">
        <f>IF($D$6&gt;500,"It is more space efficient to use a compactor at this point.  Please consult with a waste service provider to discuss with containers are suitable.","")</f>
        <v/>
      </c>
      <c r="I43" s="124"/>
      <c r="J43" s="124"/>
      <c r="K43" s="60"/>
    </row>
    <row r="44" spans="1:11" ht="30" customHeight="1" x14ac:dyDescent="0.2">
      <c r="A44" s="5" t="s">
        <v>42</v>
      </c>
      <c r="B44" s="6"/>
      <c r="C44" s="30" t="e">
        <f>VLOOKUP($D$6,#REF!,6,TRUE)</f>
        <v>#REF!</v>
      </c>
      <c r="D44" s="30" t="e">
        <f>VLOOKUP($E$6,#REF!,7,TRUE)</f>
        <v>#REF!</v>
      </c>
      <c r="E44" s="30" t="s">
        <v>20</v>
      </c>
      <c r="F44" s="30" t="s">
        <v>22</v>
      </c>
      <c r="G44" s="30" t="s">
        <v>21</v>
      </c>
      <c r="H44" s="146" t="str">
        <f>IF($D$6&gt;2000,"It is more space efficient to use a compactor at this point.  Please consult with a waste service provider to discuss with containers are suitable.","")</f>
        <v/>
      </c>
      <c r="I44" s="124"/>
      <c r="J44" s="124"/>
      <c r="K44" s="60"/>
    </row>
    <row r="45" spans="1:11" ht="16" x14ac:dyDescent="0.2">
      <c r="A45" s="5" t="s">
        <v>43</v>
      </c>
      <c r="B45" s="6"/>
      <c r="C45" s="30" t="e">
        <f>VLOOKUP($D$6,#REF!,8,TRUE)</f>
        <v>#REF!</v>
      </c>
      <c r="D45" s="30" t="e">
        <f>VLOOKUP($E$6,#REF!,9,TRUE)</f>
        <v>#REF!</v>
      </c>
      <c r="E45" s="30" t="s">
        <v>20</v>
      </c>
      <c r="F45" s="30" t="s">
        <v>22</v>
      </c>
      <c r="G45" s="30" t="s">
        <v>21</v>
      </c>
    </row>
    <row r="46" spans="1:11" ht="16" x14ac:dyDescent="0.2">
      <c r="A46" s="5" t="s">
        <v>45</v>
      </c>
      <c r="B46" s="6"/>
      <c r="C46" s="30" t="e">
        <f>VLOOKUP($D$6,#REF!,10,TRUE)</f>
        <v>#REF!</v>
      </c>
      <c r="D46" s="30" t="s">
        <v>51</v>
      </c>
      <c r="E46" s="30" t="s">
        <v>20</v>
      </c>
      <c r="F46" s="30" t="s">
        <v>22</v>
      </c>
      <c r="G46" s="30" t="s">
        <v>21</v>
      </c>
    </row>
    <row r="47" spans="1:11" x14ac:dyDescent="0.2">
      <c r="A47" s="4"/>
      <c r="B47" s="3"/>
    </row>
    <row r="48" spans="1:11" ht="30" customHeight="1" x14ac:dyDescent="0.2">
      <c r="A48" s="22" t="str">
        <f>E5</f>
        <v>Large Venue</v>
      </c>
      <c r="B48" s="23"/>
      <c r="C48" s="24"/>
      <c r="D48" s="24"/>
      <c r="E48" s="24"/>
      <c r="F48" s="24"/>
      <c r="G48" s="24"/>
      <c r="H48" s="24"/>
      <c r="I48" s="24"/>
      <c r="J48" s="24"/>
      <c r="K48" s="24"/>
    </row>
    <row r="49" spans="1:11" ht="32" x14ac:dyDescent="0.2">
      <c r="A49" s="4"/>
      <c r="B49" s="3"/>
      <c r="C49" s="55" t="s">
        <v>0</v>
      </c>
      <c r="D49" s="57" t="s">
        <v>8</v>
      </c>
      <c r="E49" s="127" t="s">
        <v>4</v>
      </c>
      <c r="F49" s="127"/>
      <c r="G49" s="127"/>
    </row>
    <row r="50" spans="1:11" ht="30" customHeight="1" x14ac:dyDescent="0.2">
      <c r="A50" s="51" t="s">
        <v>36</v>
      </c>
      <c r="B50" s="14"/>
      <c r="C50" s="30" t="e">
        <f>VLOOKUP($E$6,#REF!,3,TRUE)</f>
        <v>#REF!</v>
      </c>
      <c r="D50" s="30" t="s">
        <v>12</v>
      </c>
      <c r="E50" s="30" t="s">
        <v>20</v>
      </c>
      <c r="F50" s="30" t="s">
        <v>22</v>
      </c>
      <c r="G50" s="30" t="s">
        <v>21</v>
      </c>
      <c r="H50" s="146" t="str">
        <f>IF($E$6&gt;600,"It is more space efficient to use a compactor at this point.  Please consult with a waste service provider to discuss with containers are suitable.","")</f>
        <v/>
      </c>
      <c r="I50" s="124"/>
      <c r="J50" s="124"/>
      <c r="K50" s="60"/>
    </row>
    <row r="51" spans="1:11" ht="16" x14ac:dyDescent="0.2">
      <c r="A51" s="51" t="s">
        <v>57</v>
      </c>
      <c r="B51" s="14"/>
      <c r="C51" s="30" t="e">
        <f>VLOOKUP($E$6,#REF!,4,TRUE)</f>
        <v>#REF!</v>
      </c>
      <c r="D51" s="30" t="s">
        <v>11</v>
      </c>
      <c r="E51" s="30" t="s">
        <v>20</v>
      </c>
      <c r="F51" s="30" t="s">
        <v>22</v>
      </c>
      <c r="G51" s="30" t="s">
        <v>21</v>
      </c>
      <c r="H51" s="59"/>
    </row>
    <row r="52" spans="1:11" ht="29" customHeight="1" x14ac:dyDescent="0.2">
      <c r="A52" s="50" t="s">
        <v>37</v>
      </c>
      <c r="B52" s="27"/>
      <c r="C52" s="30" t="e">
        <f>VLOOKUP($E$6,#REF!,5,TRUE)</f>
        <v>#REF!</v>
      </c>
      <c r="D52" s="30" t="s">
        <v>12</v>
      </c>
      <c r="E52" s="30" t="s">
        <v>20</v>
      </c>
      <c r="F52" s="30" t="s">
        <v>22</v>
      </c>
      <c r="G52" s="30" t="s">
        <v>21</v>
      </c>
      <c r="H52" s="146" t="str">
        <f>IF($E$6&gt;700,"It is more space efficient to use a compactor at this point.  Please consult with a waste service provider to discuss with containers are suitable.","")</f>
        <v/>
      </c>
      <c r="I52" s="124"/>
      <c r="J52" s="124"/>
      <c r="K52" s="60"/>
    </row>
    <row r="53" spans="1:11" ht="29" customHeight="1" x14ac:dyDescent="0.2">
      <c r="A53" s="52" t="s">
        <v>40</v>
      </c>
      <c r="B53" s="26"/>
      <c r="C53" s="30" t="e">
        <f>VLOOKUP($E$6,#REF!,6,TRUE)</f>
        <v>#REF!</v>
      </c>
      <c r="D53" s="30" t="s">
        <v>10</v>
      </c>
      <c r="E53" s="30" t="s">
        <v>20</v>
      </c>
      <c r="F53" s="30" t="s">
        <v>22</v>
      </c>
      <c r="G53" s="30" t="s">
        <v>21</v>
      </c>
    </row>
    <row r="54" spans="1:11" ht="29" customHeight="1" x14ac:dyDescent="0.2">
      <c r="A54" s="50" t="s">
        <v>41</v>
      </c>
      <c r="B54" s="6"/>
      <c r="C54" s="30" t="e">
        <f>VLOOKUP($E$6,#REF!,7,TRUE)</f>
        <v>#REF!</v>
      </c>
      <c r="D54" s="30" t="s">
        <v>11</v>
      </c>
      <c r="E54" s="30" t="s">
        <v>20</v>
      </c>
      <c r="F54" s="30" t="s">
        <v>22</v>
      </c>
      <c r="G54" s="30" t="s">
        <v>21</v>
      </c>
      <c r="H54" s="146" t="str">
        <f>IF($E$6&gt;600,"It is more space efficient to use a compactor at this point.  Please consult with a waste service provider to discuss with containers are suitable.","")</f>
        <v/>
      </c>
      <c r="I54" s="124"/>
      <c r="J54" s="124"/>
      <c r="K54" s="60"/>
    </row>
    <row r="55" spans="1:11" ht="27" customHeight="1" x14ac:dyDescent="0.2">
      <c r="A55" s="50" t="s">
        <v>42</v>
      </c>
      <c r="B55" s="6"/>
      <c r="C55" s="30" t="e">
        <f>VLOOKUP($E$6,#REF!,8,TRUE)</f>
        <v>#REF!</v>
      </c>
      <c r="D55" s="30" t="e">
        <f>VLOOKUP($E$6,#REF!,9,TRUE)</f>
        <v>#REF!</v>
      </c>
      <c r="E55" s="30" t="s">
        <v>20</v>
      </c>
      <c r="F55" s="30" t="s">
        <v>22</v>
      </c>
      <c r="G55" s="30" t="s">
        <v>21</v>
      </c>
      <c r="H55" s="146" t="str">
        <f>IF($E$6&gt;4000,"It is more space efficient to use a compactor at this point.  Please consult with a waste service provider to discuss with containers are suitable.","")</f>
        <v/>
      </c>
      <c r="I55" s="124"/>
      <c r="J55" s="124"/>
      <c r="K55" s="60"/>
    </row>
    <row r="56" spans="1:11" ht="27" customHeight="1" x14ac:dyDescent="0.2">
      <c r="A56" s="50" t="s">
        <v>43</v>
      </c>
      <c r="B56" s="6"/>
      <c r="C56" s="30" t="e">
        <f>VLOOKUP($E$6,#REF!,10,TRUE)</f>
        <v>#REF!</v>
      </c>
      <c r="D56" s="30" t="e">
        <f>VLOOKUP($E$6,#REF!,11,TRUE)</f>
        <v>#REF!</v>
      </c>
      <c r="E56" s="30" t="s">
        <v>20</v>
      </c>
      <c r="F56" s="30" t="s">
        <v>22</v>
      </c>
      <c r="G56" s="30" t="s">
        <v>21</v>
      </c>
      <c r="H56" s="146" t="str">
        <f>IF($E$6&gt;3000,"It is more space efficient to use a compactor at this point.  Please consult with a waste service provider to discuss with containers are suitable.","")</f>
        <v/>
      </c>
      <c r="I56" s="124"/>
      <c r="J56" s="124"/>
      <c r="K56" s="60"/>
    </row>
    <row r="57" spans="1:11" x14ac:dyDescent="0.2">
      <c r="A57" s="4"/>
      <c r="B57" s="3"/>
    </row>
    <row r="58" spans="1:11" ht="16" x14ac:dyDescent="0.2">
      <c r="A58" s="22" t="str">
        <f>A9</f>
        <v>Hospitality Lodging</v>
      </c>
      <c r="B58" s="23"/>
      <c r="C58" s="24"/>
      <c r="D58" s="24"/>
      <c r="E58" s="24"/>
      <c r="F58" s="24"/>
      <c r="G58" s="24"/>
      <c r="H58" s="24"/>
      <c r="I58" s="24"/>
      <c r="J58" s="24"/>
      <c r="K58" s="24"/>
    </row>
    <row r="59" spans="1:11" ht="32" x14ac:dyDescent="0.2">
      <c r="A59" s="4"/>
      <c r="B59" s="3"/>
      <c r="C59" s="55" t="s">
        <v>0</v>
      </c>
      <c r="D59" s="57" t="s">
        <v>8</v>
      </c>
      <c r="E59" s="127" t="s">
        <v>4</v>
      </c>
      <c r="F59" s="127"/>
      <c r="G59" s="127"/>
    </row>
    <row r="60" spans="1:11" ht="16" x14ac:dyDescent="0.2">
      <c r="A60" s="13" t="s">
        <v>36</v>
      </c>
      <c r="B60" s="14"/>
      <c r="C60" s="30" t="e">
        <f>VLOOKUP($B$9,#REF!,3,TRUE)</f>
        <v>#REF!</v>
      </c>
      <c r="D60" s="30" t="s">
        <v>12</v>
      </c>
      <c r="E60" s="30" t="s">
        <v>20</v>
      </c>
      <c r="F60" s="30" t="s">
        <v>22</v>
      </c>
      <c r="G60" s="30" t="s">
        <v>21</v>
      </c>
    </row>
    <row r="61" spans="1:11" ht="16" x14ac:dyDescent="0.2">
      <c r="A61" s="13" t="s">
        <v>57</v>
      </c>
      <c r="B61" s="14"/>
      <c r="C61" s="30" t="e">
        <f>VLOOKUP($B$9,#REF!,11,TRUE)</f>
        <v>#REF!</v>
      </c>
      <c r="D61" s="30" t="s">
        <v>11</v>
      </c>
      <c r="E61" s="30" t="s">
        <v>20</v>
      </c>
      <c r="F61" s="30" t="s">
        <v>22</v>
      </c>
      <c r="G61" s="30" t="s">
        <v>21</v>
      </c>
    </row>
    <row r="62" spans="1:11" ht="29" customHeight="1" x14ac:dyDescent="0.2">
      <c r="A62" s="5" t="s">
        <v>37</v>
      </c>
      <c r="B62" s="27"/>
      <c r="C62" s="30" t="e">
        <f>VLOOKUP($B$9,#REF!,4,TRUE)</f>
        <v>#REF!</v>
      </c>
      <c r="D62" s="30" t="s">
        <v>12</v>
      </c>
      <c r="E62" s="30" t="s">
        <v>20</v>
      </c>
      <c r="F62" s="30" t="s">
        <v>22</v>
      </c>
      <c r="G62" s="30" t="s">
        <v>21</v>
      </c>
    </row>
    <row r="63" spans="1:11" ht="16" x14ac:dyDescent="0.2">
      <c r="A63" s="25" t="s">
        <v>40</v>
      </c>
      <c r="B63" s="26"/>
      <c r="C63" s="30" t="e">
        <f>VLOOKUP($B$9,#REF!,12,TRUE)</f>
        <v>#REF!</v>
      </c>
      <c r="D63" s="30" t="s">
        <v>10</v>
      </c>
      <c r="E63" s="30" t="s">
        <v>20</v>
      </c>
      <c r="F63" s="30" t="s">
        <v>22</v>
      </c>
      <c r="G63" s="30" t="s">
        <v>21</v>
      </c>
    </row>
    <row r="64" spans="1:11" ht="28.25" customHeight="1" x14ac:dyDescent="0.2">
      <c r="A64" s="50" t="s">
        <v>41</v>
      </c>
      <c r="B64" s="6"/>
      <c r="C64" s="30" t="e">
        <f>VLOOKUP($B$9,#REF!,5,TRUE)</f>
        <v>#REF!</v>
      </c>
      <c r="D64" s="30" t="s">
        <v>11</v>
      </c>
      <c r="E64" s="30" t="s">
        <v>20</v>
      </c>
      <c r="F64" s="30" t="s">
        <v>22</v>
      </c>
      <c r="G64" s="30" t="s">
        <v>21</v>
      </c>
      <c r="H64" s="146" t="str">
        <f>IF(B9&gt;50,"It is more space efficient to use a compactor at this point.  Please consult with a waste service provider to discuss with containers are suitable.","")</f>
        <v/>
      </c>
      <c r="I64" s="124"/>
      <c r="J64" s="124"/>
      <c r="K64" s="60"/>
    </row>
    <row r="65" spans="1:11" ht="14.5" customHeight="1" x14ac:dyDescent="0.2">
      <c r="A65" s="5" t="s">
        <v>42</v>
      </c>
      <c r="B65" s="6"/>
      <c r="C65" s="30" t="e">
        <f>VLOOKUP($B$9,#REF!,6,TRUE)</f>
        <v>#REF!</v>
      </c>
      <c r="D65" s="30" t="e">
        <f>VLOOKUP($B$9,#REF!,7,TRUE)</f>
        <v>#REF!</v>
      </c>
      <c r="E65" s="30" t="s">
        <v>20</v>
      </c>
      <c r="F65" s="30" t="s">
        <v>22</v>
      </c>
      <c r="G65" s="30" t="s">
        <v>21</v>
      </c>
    </row>
    <row r="66" spans="1:11" ht="27.5" customHeight="1" x14ac:dyDescent="0.2">
      <c r="A66" s="5" t="s">
        <v>43</v>
      </c>
      <c r="B66" s="6"/>
      <c r="C66" s="30" t="e">
        <f>VLOOKUP($B$9,#REF!,8,TRUE)</f>
        <v>#REF!</v>
      </c>
      <c r="D66" s="30" t="e">
        <f>VLOOKUP($B$9,#REF!,9,TRUE)</f>
        <v>#REF!</v>
      </c>
      <c r="E66" s="30" t="s">
        <v>20</v>
      </c>
      <c r="F66" s="30" t="s">
        <v>22</v>
      </c>
      <c r="G66" s="30" t="s">
        <v>21</v>
      </c>
    </row>
    <row r="67" spans="1:11" ht="14.5" customHeight="1" x14ac:dyDescent="0.2">
      <c r="A67" s="5" t="s">
        <v>45</v>
      </c>
      <c r="B67" s="6"/>
      <c r="C67" s="30" t="e">
        <f>VLOOKUP($B$9,#REF!,10,TRUE)</f>
        <v>#REF!</v>
      </c>
      <c r="D67" s="30" t="s">
        <v>51</v>
      </c>
      <c r="E67" s="30" t="s">
        <v>20</v>
      </c>
      <c r="F67" s="30" t="s">
        <v>22</v>
      </c>
      <c r="G67" s="30" t="s">
        <v>21</v>
      </c>
    </row>
    <row r="68" spans="1:11" x14ac:dyDescent="0.2">
      <c r="A68" s="4"/>
      <c r="B68" s="3"/>
    </row>
    <row r="69" spans="1:11" ht="29" customHeight="1" x14ac:dyDescent="0.2">
      <c r="A69" s="9" t="s">
        <v>19</v>
      </c>
      <c r="B69" s="10"/>
      <c r="C69" s="11"/>
      <c r="D69" s="11"/>
      <c r="E69" s="12"/>
      <c r="F69" s="10"/>
      <c r="G69" s="12"/>
      <c r="H69" s="10"/>
      <c r="I69" s="10"/>
      <c r="J69" s="10"/>
      <c r="K69" s="10"/>
    </row>
    <row r="70" spans="1:11" x14ac:dyDescent="0.2">
      <c r="A70" s="128"/>
      <c r="B70" s="128"/>
      <c r="C70" s="128"/>
      <c r="D70" s="128"/>
      <c r="E70" s="128"/>
      <c r="F70" s="128"/>
      <c r="G70" s="128"/>
      <c r="H70" s="128"/>
    </row>
    <row r="71" spans="1:11" x14ac:dyDescent="0.2">
      <c r="A71" s="4"/>
      <c r="B71" s="3"/>
    </row>
    <row r="72" spans="1:11" ht="14.5" customHeight="1" x14ac:dyDescent="0.2">
      <c r="A72" s="22" t="str">
        <f>A17</f>
        <v>Office, Childcare &amp; School</v>
      </c>
      <c r="B72" s="23"/>
      <c r="C72" s="24"/>
      <c r="D72" s="24"/>
      <c r="E72" s="24"/>
      <c r="F72" s="24"/>
      <c r="G72" s="24"/>
      <c r="H72" s="24"/>
      <c r="I72" s="24"/>
      <c r="J72" s="24"/>
      <c r="K72" s="24"/>
    </row>
    <row r="73" spans="1:11" ht="32" x14ac:dyDescent="0.2">
      <c r="A73" s="3"/>
      <c r="C73" s="114" t="s">
        <v>29</v>
      </c>
      <c r="D73" s="115"/>
      <c r="E73" s="55" t="s">
        <v>0</v>
      </c>
      <c r="F73" s="114" t="s">
        <v>25</v>
      </c>
      <c r="G73" s="116"/>
      <c r="H73" s="116"/>
      <c r="I73" s="115"/>
    </row>
    <row r="74" spans="1:11" ht="16" x14ac:dyDescent="0.2">
      <c r="A74" s="13" t="s">
        <v>36</v>
      </c>
      <c r="B74" s="14"/>
      <c r="C74" s="5">
        <f t="shared" ref="C74:C80" si="0">LOOKUP(D19,M$4:M$17,N$4:N$17)</f>
        <v>1.37</v>
      </c>
      <c r="D74" s="6" t="s">
        <v>24</v>
      </c>
      <c r="E74" s="1" t="e">
        <f t="shared" ref="E74:E80" si="1">C19</f>
        <v>#REF!</v>
      </c>
      <c r="F74" s="5">
        <f t="shared" ref="F74:F78" si="2">IF(AND(C74&gt;0,ISNUMBER(E74)), C74*E74,0)</f>
        <v>0</v>
      </c>
      <c r="G74" s="6" t="s">
        <v>24</v>
      </c>
      <c r="H74" s="40">
        <f>F74*10.7639</f>
        <v>0</v>
      </c>
      <c r="I74" s="26" t="s">
        <v>55</v>
      </c>
    </row>
    <row r="75" spans="1:11" ht="16" x14ac:dyDescent="0.2">
      <c r="A75" s="13" t="s">
        <v>57</v>
      </c>
      <c r="B75" s="14"/>
      <c r="C75" s="5">
        <f t="shared" si="0"/>
        <v>1.04</v>
      </c>
      <c r="D75" s="6" t="s">
        <v>24</v>
      </c>
      <c r="E75" s="1" t="e">
        <f t="shared" si="1"/>
        <v>#REF!</v>
      </c>
      <c r="F75" s="5">
        <f t="shared" si="2"/>
        <v>0</v>
      </c>
      <c r="G75" s="6" t="s">
        <v>24</v>
      </c>
      <c r="H75" s="40">
        <f>F75*10.7639</f>
        <v>0</v>
      </c>
      <c r="I75" s="26" t="s">
        <v>55</v>
      </c>
    </row>
    <row r="76" spans="1:11" ht="16" x14ac:dyDescent="0.2">
      <c r="A76" s="5" t="s">
        <v>37</v>
      </c>
      <c r="B76" s="27"/>
      <c r="C76" s="5">
        <f t="shared" si="0"/>
        <v>1.37</v>
      </c>
      <c r="D76" s="6" t="s">
        <v>24</v>
      </c>
      <c r="E76" s="1" t="e">
        <f t="shared" si="1"/>
        <v>#REF!</v>
      </c>
      <c r="F76" s="5">
        <f t="shared" si="2"/>
        <v>0</v>
      </c>
      <c r="G76" s="6" t="s">
        <v>24</v>
      </c>
      <c r="H76" s="40">
        <f t="shared" ref="H76:H80" si="3">F76*10.7639</f>
        <v>0</v>
      </c>
      <c r="I76" s="26" t="s">
        <v>55</v>
      </c>
    </row>
    <row r="77" spans="1:11" ht="16" x14ac:dyDescent="0.2">
      <c r="A77" s="25" t="s">
        <v>40</v>
      </c>
      <c r="B77" s="26"/>
      <c r="C77" s="5">
        <f t="shared" si="0"/>
        <v>0.74</v>
      </c>
      <c r="D77" s="6" t="s">
        <v>24</v>
      </c>
      <c r="E77" s="1" t="e">
        <f t="shared" si="1"/>
        <v>#REF!</v>
      </c>
      <c r="F77" s="5">
        <f t="shared" si="2"/>
        <v>0</v>
      </c>
      <c r="G77" s="6" t="s">
        <v>24</v>
      </c>
      <c r="H77" s="40">
        <f t="shared" si="3"/>
        <v>0</v>
      </c>
      <c r="I77" s="26" t="s">
        <v>55</v>
      </c>
    </row>
    <row r="78" spans="1:11" ht="16" x14ac:dyDescent="0.2">
      <c r="A78" s="5" t="s">
        <v>41</v>
      </c>
      <c r="B78" s="6"/>
      <c r="C78" s="5">
        <f t="shared" si="0"/>
        <v>1.04</v>
      </c>
      <c r="D78" s="6" t="s">
        <v>24</v>
      </c>
      <c r="E78" s="1" t="e">
        <f t="shared" si="1"/>
        <v>#REF!</v>
      </c>
      <c r="F78" s="5">
        <f t="shared" si="2"/>
        <v>0</v>
      </c>
      <c r="G78" s="6" t="s">
        <v>24</v>
      </c>
      <c r="H78" s="40">
        <f t="shared" si="3"/>
        <v>0</v>
      </c>
      <c r="I78" s="26" t="s">
        <v>55</v>
      </c>
    </row>
    <row r="79" spans="1:11" ht="16" x14ac:dyDescent="0.2">
      <c r="A79" s="5" t="s">
        <v>42</v>
      </c>
      <c r="B79" s="6"/>
      <c r="C79" s="36" t="e">
        <f t="shared" si="0"/>
        <v>#REF!</v>
      </c>
      <c r="D79" s="6" t="s">
        <v>24</v>
      </c>
      <c r="E79" s="1" t="e">
        <f t="shared" si="1"/>
        <v>#REF!</v>
      </c>
      <c r="F79" s="36" t="e">
        <f>IF(AND(C79&gt;0,ISNUMBER(E79)), C79*E79,0)</f>
        <v>#REF!</v>
      </c>
      <c r="G79" s="6" t="s">
        <v>24</v>
      </c>
      <c r="H79" s="40" t="e">
        <f t="shared" si="3"/>
        <v>#REF!</v>
      </c>
      <c r="I79" s="26" t="s">
        <v>55</v>
      </c>
    </row>
    <row r="80" spans="1:11" ht="16" x14ac:dyDescent="0.2">
      <c r="A80" s="5" t="s">
        <v>43</v>
      </c>
      <c r="B80" s="6"/>
      <c r="C80" s="36" t="e">
        <f t="shared" si="0"/>
        <v>#REF!</v>
      </c>
      <c r="D80" s="6" t="s">
        <v>24</v>
      </c>
      <c r="E80" s="1" t="e">
        <f t="shared" si="1"/>
        <v>#REF!</v>
      </c>
      <c r="F80" s="36" t="e">
        <f t="shared" ref="F80" si="4">IF(AND(C80&gt;0,ISNUMBER(E80)), C80*E80,0)</f>
        <v>#REF!</v>
      </c>
      <c r="G80" s="6" t="s">
        <v>24</v>
      </c>
      <c r="H80" s="40" t="e">
        <f t="shared" si="3"/>
        <v>#REF!</v>
      </c>
      <c r="I80" s="26" t="s">
        <v>55</v>
      </c>
    </row>
    <row r="81" spans="1:11" ht="16" x14ac:dyDescent="0.2">
      <c r="A81" s="129" t="s">
        <v>26</v>
      </c>
      <c r="B81" s="130"/>
      <c r="C81" s="16"/>
      <c r="D81" s="17"/>
      <c r="E81" s="18"/>
      <c r="F81" s="37">
        <f>SUMIF(F74:F80,"&gt;0")</f>
        <v>0</v>
      </c>
      <c r="G81" s="20" t="s">
        <v>24</v>
      </c>
      <c r="H81" s="42" t="e">
        <f>SUM(H74:H80)</f>
        <v>#REF!</v>
      </c>
      <c r="I81" s="41" t="s">
        <v>55</v>
      </c>
    </row>
    <row r="82" spans="1:11" x14ac:dyDescent="0.2">
      <c r="A82" s="28"/>
      <c r="B82" s="28"/>
      <c r="F82" s="29"/>
      <c r="G82" s="29"/>
    </row>
    <row r="83" spans="1:11" ht="16" x14ac:dyDescent="0.2">
      <c r="A83" s="22" t="str">
        <f>A27</f>
        <v>Retail, Light Industrial &amp; Warehouse</v>
      </c>
      <c r="B83" s="23"/>
      <c r="C83" s="24"/>
      <c r="D83" s="24"/>
      <c r="E83" s="24"/>
      <c r="F83" s="24"/>
      <c r="G83" s="24"/>
      <c r="H83" s="24"/>
      <c r="I83" s="24"/>
      <c r="J83" s="24"/>
      <c r="K83" s="24"/>
    </row>
    <row r="84" spans="1:11" ht="32" x14ac:dyDescent="0.2">
      <c r="A84" s="3"/>
      <c r="C84" s="114" t="s">
        <v>29</v>
      </c>
      <c r="D84" s="115"/>
      <c r="E84" s="55" t="s">
        <v>0</v>
      </c>
      <c r="F84" s="114" t="s">
        <v>25</v>
      </c>
      <c r="G84" s="116"/>
      <c r="H84" s="116"/>
      <c r="I84" s="115"/>
    </row>
    <row r="85" spans="1:11" ht="16" x14ac:dyDescent="0.2">
      <c r="A85" s="13" t="s">
        <v>36</v>
      </c>
      <c r="B85" s="14"/>
      <c r="C85" s="5">
        <f t="shared" ref="C85:C91" si="5">LOOKUP(D29,M$4:M$17,N$4:N$17)</f>
        <v>1.37</v>
      </c>
      <c r="D85" s="6" t="s">
        <v>24</v>
      </c>
      <c r="E85" s="1" t="e">
        <f t="shared" ref="E85:E91" si="6">C29</f>
        <v>#REF!</v>
      </c>
      <c r="F85" s="5">
        <f t="shared" ref="F85:F91" si="7">IF(AND(C85&gt;0,ISNUMBER(E85)), C85*E85,0)</f>
        <v>0</v>
      </c>
      <c r="G85" s="6" t="s">
        <v>24</v>
      </c>
      <c r="H85" s="40">
        <f>F85*10.7639</f>
        <v>0</v>
      </c>
      <c r="I85" s="26" t="s">
        <v>55</v>
      </c>
    </row>
    <row r="86" spans="1:11" ht="16" x14ac:dyDescent="0.2">
      <c r="A86" s="13" t="s">
        <v>57</v>
      </c>
      <c r="B86" s="14"/>
      <c r="C86" s="5">
        <f t="shared" si="5"/>
        <v>1.04</v>
      </c>
      <c r="D86" s="6" t="s">
        <v>24</v>
      </c>
      <c r="E86" s="1" t="e">
        <f t="shared" si="6"/>
        <v>#REF!</v>
      </c>
      <c r="F86" s="5">
        <f t="shared" si="7"/>
        <v>0</v>
      </c>
      <c r="G86" s="6" t="s">
        <v>24</v>
      </c>
      <c r="H86" s="40">
        <f>F86*10.7639</f>
        <v>0</v>
      </c>
      <c r="I86" s="26" t="s">
        <v>55</v>
      </c>
    </row>
    <row r="87" spans="1:11" ht="16" x14ac:dyDescent="0.2">
      <c r="A87" s="5" t="s">
        <v>37</v>
      </c>
      <c r="B87" s="27"/>
      <c r="C87" s="5">
        <f t="shared" si="5"/>
        <v>1.37</v>
      </c>
      <c r="D87" s="6" t="s">
        <v>24</v>
      </c>
      <c r="E87" s="1" t="e">
        <f t="shared" si="6"/>
        <v>#REF!</v>
      </c>
      <c r="F87" s="5">
        <f t="shared" si="7"/>
        <v>0</v>
      </c>
      <c r="G87" s="6" t="s">
        <v>24</v>
      </c>
      <c r="H87" s="40">
        <f t="shared" ref="H87:H91" si="8">F87*10.7639</f>
        <v>0</v>
      </c>
      <c r="I87" s="26" t="s">
        <v>55</v>
      </c>
    </row>
    <row r="88" spans="1:11" ht="16" x14ac:dyDescent="0.2">
      <c r="A88" s="25" t="s">
        <v>40</v>
      </c>
      <c r="B88" s="26"/>
      <c r="C88" s="5">
        <f t="shared" si="5"/>
        <v>0.74</v>
      </c>
      <c r="D88" s="6" t="s">
        <v>24</v>
      </c>
      <c r="E88" s="1" t="e">
        <f t="shared" si="6"/>
        <v>#REF!</v>
      </c>
      <c r="F88" s="5">
        <f t="shared" si="7"/>
        <v>0</v>
      </c>
      <c r="G88" s="6" t="s">
        <v>24</v>
      </c>
      <c r="H88" s="40">
        <f t="shared" si="8"/>
        <v>0</v>
      </c>
      <c r="I88" s="26" t="s">
        <v>55</v>
      </c>
    </row>
    <row r="89" spans="1:11" ht="16" x14ac:dyDescent="0.2">
      <c r="A89" s="5" t="s">
        <v>41</v>
      </c>
      <c r="B89" s="6"/>
      <c r="C89" s="5">
        <f t="shared" si="5"/>
        <v>1.04</v>
      </c>
      <c r="D89" s="6" t="s">
        <v>24</v>
      </c>
      <c r="E89" s="1" t="e">
        <f t="shared" si="6"/>
        <v>#REF!</v>
      </c>
      <c r="F89" s="5">
        <f t="shared" si="7"/>
        <v>0</v>
      </c>
      <c r="G89" s="6" t="s">
        <v>24</v>
      </c>
      <c r="H89" s="40">
        <f t="shared" si="8"/>
        <v>0</v>
      </c>
      <c r="I89" s="26" t="s">
        <v>55</v>
      </c>
    </row>
    <row r="90" spans="1:11" ht="16" x14ac:dyDescent="0.2">
      <c r="A90" s="5" t="s">
        <v>42</v>
      </c>
      <c r="B90" s="6"/>
      <c r="C90" s="36" t="e">
        <f t="shared" si="5"/>
        <v>#REF!</v>
      </c>
      <c r="D90" s="6" t="s">
        <v>24</v>
      </c>
      <c r="E90" s="1" t="e">
        <f t="shared" si="6"/>
        <v>#REF!</v>
      </c>
      <c r="F90" s="36" t="e">
        <f t="shared" si="7"/>
        <v>#REF!</v>
      </c>
      <c r="G90" s="6" t="s">
        <v>24</v>
      </c>
      <c r="H90" s="40" t="e">
        <f t="shared" si="8"/>
        <v>#REF!</v>
      </c>
      <c r="I90" s="26" t="s">
        <v>55</v>
      </c>
    </row>
    <row r="91" spans="1:11" ht="16" x14ac:dyDescent="0.2">
      <c r="A91" s="5" t="s">
        <v>43</v>
      </c>
      <c r="B91" s="6"/>
      <c r="C91" s="36" t="e">
        <f t="shared" si="5"/>
        <v>#REF!</v>
      </c>
      <c r="D91" s="6" t="s">
        <v>24</v>
      </c>
      <c r="E91" s="1" t="e">
        <f t="shared" si="6"/>
        <v>#REF!</v>
      </c>
      <c r="F91" s="36" t="e">
        <f t="shared" si="7"/>
        <v>#REF!</v>
      </c>
      <c r="G91" s="6" t="s">
        <v>24</v>
      </c>
      <c r="H91" s="40" t="e">
        <f t="shared" si="8"/>
        <v>#REF!</v>
      </c>
      <c r="I91" s="26" t="s">
        <v>55</v>
      </c>
    </row>
    <row r="92" spans="1:11" ht="16" x14ac:dyDescent="0.2">
      <c r="A92" s="129" t="s">
        <v>26</v>
      </c>
      <c r="B92" s="130"/>
      <c r="C92" s="16"/>
      <c r="D92" s="17"/>
      <c r="E92" s="18"/>
      <c r="F92" s="37">
        <f>SUMIF(F85:F91,"&gt;0")</f>
        <v>0</v>
      </c>
      <c r="G92" s="20" t="s">
        <v>24</v>
      </c>
      <c r="H92" s="42" t="e">
        <f>SUM(H85:H91)</f>
        <v>#REF!</v>
      </c>
      <c r="I92" s="41" t="s">
        <v>55</v>
      </c>
    </row>
    <row r="93" spans="1:11" x14ac:dyDescent="0.2">
      <c r="A93" s="28"/>
      <c r="B93" s="28"/>
      <c r="F93" s="29"/>
      <c r="G93" s="29"/>
    </row>
    <row r="94" spans="1:11" ht="16" x14ac:dyDescent="0.2">
      <c r="A94" s="22" t="str">
        <f>A37</f>
        <v>Restaurant &amp; Grocery Store</v>
      </c>
      <c r="B94" s="23"/>
      <c r="C94" s="24"/>
      <c r="D94" s="24"/>
      <c r="E94" s="24"/>
      <c r="F94" s="24"/>
      <c r="G94" s="24"/>
      <c r="H94" s="24"/>
      <c r="I94" s="24"/>
      <c r="J94" s="24"/>
      <c r="K94" s="24"/>
    </row>
    <row r="95" spans="1:11" ht="32" x14ac:dyDescent="0.2">
      <c r="A95" s="3"/>
      <c r="C95" s="114" t="s">
        <v>29</v>
      </c>
      <c r="D95" s="115"/>
      <c r="E95" s="55" t="s">
        <v>0</v>
      </c>
      <c r="F95" s="114" t="s">
        <v>25</v>
      </c>
      <c r="G95" s="116"/>
      <c r="H95" s="116"/>
      <c r="I95" s="115"/>
    </row>
    <row r="96" spans="1:11" ht="16" x14ac:dyDescent="0.2">
      <c r="A96" s="13" t="s">
        <v>36</v>
      </c>
      <c r="B96" s="14"/>
      <c r="C96" s="5">
        <f t="shared" ref="C96:C103" si="9">LOOKUP(D39,M$4:M$17,N$4:N$17)</f>
        <v>1.37</v>
      </c>
      <c r="D96" s="6" t="s">
        <v>24</v>
      </c>
      <c r="E96" s="1" t="e">
        <f t="shared" ref="E96:E103" si="10">C39</f>
        <v>#REF!</v>
      </c>
      <c r="F96" s="5">
        <f t="shared" ref="F96:F103" si="11">IF(AND(C96&gt;0,ISNUMBER(E96)), C96*E96,0)</f>
        <v>0</v>
      </c>
      <c r="G96" s="6" t="s">
        <v>24</v>
      </c>
      <c r="H96" s="40">
        <f>F96*10.7639</f>
        <v>0</v>
      </c>
      <c r="I96" s="26" t="s">
        <v>55</v>
      </c>
    </row>
    <row r="97" spans="1:11" ht="16" x14ac:dyDescent="0.2">
      <c r="A97" s="13" t="s">
        <v>57</v>
      </c>
      <c r="B97" s="14"/>
      <c r="C97" s="5">
        <f t="shared" si="9"/>
        <v>1.04</v>
      </c>
      <c r="D97" s="6" t="s">
        <v>24</v>
      </c>
      <c r="E97" s="1" t="e">
        <f t="shared" si="10"/>
        <v>#REF!</v>
      </c>
      <c r="F97" s="5">
        <f t="shared" si="11"/>
        <v>0</v>
      </c>
      <c r="G97" s="6" t="s">
        <v>24</v>
      </c>
      <c r="H97" s="40">
        <f>F97*10.7639</f>
        <v>0</v>
      </c>
      <c r="I97" s="26" t="s">
        <v>55</v>
      </c>
    </row>
    <row r="98" spans="1:11" ht="16" x14ac:dyDescent="0.2">
      <c r="A98" s="5" t="s">
        <v>37</v>
      </c>
      <c r="B98" s="27"/>
      <c r="C98" s="5">
        <f t="shared" si="9"/>
        <v>1.37</v>
      </c>
      <c r="D98" s="6" t="s">
        <v>24</v>
      </c>
      <c r="E98" s="1" t="e">
        <f t="shared" si="10"/>
        <v>#REF!</v>
      </c>
      <c r="F98" s="5">
        <f t="shared" si="11"/>
        <v>0</v>
      </c>
      <c r="G98" s="6" t="s">
        <v>24</v>
      </c>
      <c r="H98" s="40">
        <f>F98*10.7639</f>
        <v>0</v>
      </c>
      <c r="I98" s="26" t="s">
        <v>55</v>
      </c>
    </row>
    <row r="99" spans="1:11" ht="16" x14ac:dyDescent="0.2">
      <c r="A99" s="25" t="s">
        <v>40</v>
      </c>
      <c r="B99" s="26"/>
      <c r="C99" s="5">
        <f t="shared" si="9"/>
        <v>0.74</v>
      </c>
      <c r="D99" s="6" t="s">
        <v>24</v>
      </c>
      <c r="E99" s="1" t="e">
        <f t="shared" si="10"/>
        <v>#REF!</v>
      </c>
      <c r="F99" s="5">
        <f t="shared" si="11"/>
        <v>0</v>
      </c>
      <c r="G99" s="6" t="s">
        <v>24</v>
      </c>
      <c r="H99" s="40">
        <f t="shared" ref="H99:H103" si="12">F99*10.7639</f>
        <v>0</v>
      </c>
      <c r="I99" s="26" t="s">
        <v>55</v>
      </c>
    </row>
    <row r="100" spans="1:11" ht="16" x14ac:dyDescent="0.2">
      <c r="A100" s="5" t="s">
        <v>41</v>
      </c>
      <c r="B100" s="6"/>
      <c r="C100" s="5">
        <f t="shared" si="9"/>
        <v>1.04</v>
      </c>
      <c r="D100" s="6" t="s">
        <v>24</v>
      </c>
      <c r="E100" s="1" t="e">
        <f t="shared" si="10"/>
        <v>#REF!</v>
      </c>
      <c r="F100" s="5">
        <f t="shared" si="11"/>
        <v>0</v>
      </c>
      <c r="G100" s="6" t="s">
        <v>24</v>
      </c>
      <c r="H100" s="40">
        <f t="shared" si="12"/>
        <v>0</v>
      </c>
      <c r="I100" s="26" t="s">
        <v>55</v>
      </c>
    </row>
    <row r="101" spans="1:11" ht="16" x14ac:dyDescent="0.2">
      <c r="A101" s="5" t="s">
        <v>42</v>
      </c>
      <c r="B101" s="6"/>
      <c r="C101" s="36" t="e">
        <f t="shared" si="9"/>
        <v>#REF!</v>
      </c>
      <c r="D101" s="6" t="s">
        <v>24</v>
      </c>
      <c r="E101" s="1" t="e">
        <f t="shared" si="10"/>
        <v>#REF!</v>
      </c>
      <c r="F101" s="36" t="e">
        <f t="shared" si="11"/>
        <v>#REF!</v>
      </c>
      <c r="G101" s="6" t="s">
        <v>24</v>
      </c>
      <c r="H101" s="40" t="e">
        <f t="shared" si="12"/>
        <v>#REF!</v>
      </c>
      <c r="I101" s="26" t="s">
        <v>55</v>
      </c>
    </row>
    <row r="102" spans="1:11" ht="16" x14ac:dyDescent="0.2">
      <c r="A102" s="5" t="s">
        <v>43</v>
      </c>
      <c r="B102" s="6"/>
      <c r="C102" s="36" t="e">
        <f t="shared" si="9"/>
        <v>#REF!</v>
      </c>
      <c r="D102" s="6" t="s">
        <v>24</v>
      </c>
      <c r="E102" s="1" t="e">
        <f t="shared" si="10"/>
        <v>#REF!</v>
      </c>
      <c r="F102" s="36" t="e">
        <f t="shared" si="11"/>
        <v>#REF!</v>
      </c>
      <c r="G102" s="6" t="s">
        <v>24</v>
      </c>
      <c r="H102" s="40" t="e">
        <f t="shared" si="12"/>
        <v>#REF!</v>
      </c>
      <c r="I102" s="26" t="s">
        <v>55</v>
      </c>
    </row>
    <row r="103" spans="1:11" ht="29" customHeight="1" x14ac:dyDescent="0.2">
      <c r="A103" s="5" t="str">
        <f>A46</f>
        <v>Commercial Grease/Tallow</v>
      </c>
      <c r="B103" s="38"/>
      <c r="C103" s="36">
        <f t="shared" si="9"/>
        <v>0.12</v>
      </c>
      <c r="D103" s="6" t="s">
        <v>24</v>
      </c>
      <c r="E103" s="1" t="e">
        <f t="shared" si="10"/>
        <v>#REF!</v>
      </c>
      <c r="F103" s="36">
        <f t="shared" si="11"/>
        <v>0</v>
      </c>
      <c r="G103" s="6" t="s">
        <v>24</v>
      </c>
      <c r="H103" s="40">
        <f t="shared" si="12"/>
        <v>0</v>
      </c>
      <c r="I103" s="26" t="s">
        <v>55</v>
      </c>
    </row>
    <row r="104" spans="1:11" ht="16" x14ac:dyDescent="0.2">
      <c r="A104" s="129" t="s">
        <v>26</v>
      </c>
      <c r="B104" s="130"/>
      <c r="C104" s="16"/>
      <c r="D104" s="17"/>
      <c r="E104" s="18"/>
      <c r="F104" s="37">
        <f>SUMIF(F96:F103,"&gt;0")</f>
        <v>0</v>
      </c>
      <c r="G104" s="20" t="s">
        <v>24</v>
      </c>
      <c r="H104" s="42" t="e">
        <f>SUM(H96:H103)</f>
        <v>#REF!</v>
      </c>
      <c r="I104" s="41" t="s">
        <v>55</v>
      </c>
    </row>
    <row r="105" spans="1:11" x14ac:dyDescent="0.2">
      <c r="A105" s="28"/>
      <c r="B105" s="28"/>
      <c r="F105" s="29"/>
      <c r="G105" s="29"/>
    </row>
    <row r="106" spans="1:11" ht="16" x14ac:dyDescent="0.2">
      <c r="A106" s="22" t="str">
        <f>A48</f>
        <v>Large Venue</v>
      </c>
      <c r="B106" s="23"/>
      <c r="C106" s="24"/>
      <c r="D106" s="24"/>
      <c r="E106" s="24"/>
      <c r="F106" s="24"/>
      <c r="G106" s="24"/>
      <c r="H106" s="24"/>
      <c r="I106" s="24"/>
      <c r="J106" s="24"/>
      <c r="K106" s="24"/>
    </row>
    <row r="107" spans="1:11" ht="32" x14ac:dyDescent="0.2">
      <c r="A107" s="3"/>
      <c r="C107" s="114" t="s">
        <v>29</v>
      </c>
      <c r="D107" s="115"/>
      <c r="E107" s="55" t="s">
        <v>0</v>
      </c>
      <c r="F107" s="114" t="s">
        <v>25</v>
      </c>
      <c r="G107" s="116"/>
      <c r="H107" s="116"/>
      <c r="I107" s="115"/>
    </row>
    <row r="108" spans="1:11" ht="16" x14ac:dyDescent="0.2">
      <c r="A108" s="13" t="s">
        <v>36</v>
      </c>
      <c r="B108" s="14"/>
      <c r="C108" s="5">
        <f t="shared" ref="C108:C114" si="13">LOOKUP(D50,M$4:M$17,N$4:N$17)</f>
        <v>1.37</v>
      </c>
      <c r="D108" s="6" t="s">
        <v>24</v>
      </c>
      <c r="E108" s="1" t="e">
        <f t="shared" ref="E108:E114" si="14">C50</f>
        <v>#REF!</v>
      </c>
      <c r="F108" s="5">
        <f t="shared" ref="F108:F114" si="15">IF(AND(C108&gt;0,ISNUMBER(E108)), C108*E108,0)</f>
        <v>0</v>
      </c>
      <c r="G108" s="6" t="s">
        <v>24</v>
      </c>
      <c r="H108" s="40">
        <f>F108*10.7639</f>
        <v>0</v>
      </c>
      <c r="I108" s="26" t="s">
        <v>55</v>
      </c>
    </row>
    <row r="109" spans="1:11" ht="16" x14ac:dyDescent="0.2">
      <c r="A109" s="13" t="s">
        <v>57</v>
      </c>
      <c r="B109" s="14"/>
      <c r="C109" s="5">
        <f t="shared" si="13"/>
        <v>1.04</v>
      </c>
      <c r="D109" s="6" t="s">
        <v>24</v>
      </c>
      <c r="E109" s="1" t="e">
        <f t="shared" si="14"/>
        <v>#REF!</v>
      </c>
      <c r="F109" s="5">
        <f t="shared" si="15"/>
        <v>0</v>
      </c>
      <c r="G109" s="6" t="s">
        <v>24</v>
      </c>
      <c r="H109" s="40">
        <f>F109*10.7639</f>
        <v>0</v>
      </c>
      <c r="I109" s="26" t="s">
        <v>55</v>
      </c>
    </row>
    <row r="110" spans="1:11" ht="16" x14ac:dyDescent="0.2">
      <c r="A110" s="5" t="s">
        <v>37</v>
      </c>
      <c r="B110" s="27"/>
      <c r="C110" s="5">
        <f t="shared" si="13"/>
        <v>1.37</v>
      </c>
      <c r="D110" s="6" t="s">
        <v>24</v>
      </c>
      <c r="E110" s="1" t="e">
        <f t="shared" si="14"/>
        <v>#REF!</v>
      </c>
      <c r="F110" s="5">
        <f t="shared" si="15"/>
        <v>0</v>
      </c>
      <c r="G110" s="6" t="s">
        <v>24</v>
      </c>
      <c r="H110" s="40">
        <f t="shared" ref="H110:H114" si="16">F110*10.7639</f>
        <v>0</v>
      </c>
      <c r="I110" s="26" t="s">
        <v>55</v>
      </c>
    </row>
    <row r="111" spans="1:11" ht="16" x14ac:dyDescent="0.2">
      <c r="A111" s="25" t="s">
        <v>40</v>
      </c>
      <c r="B111" s="26"/>
      <c r="C111" s="5">
        <f t="shared" si="13"/>
        <v>0.74</v>
      </c>
      <c r="D111" s="6" t="s">
        <v>24</v>
      </c>
      <c r="E111" s="1" t="e">
        <f t="shared" si="14"/>
        <v>#REF!</v>
      </c>
      <c r="F111" s="5">
        <f t="shared" si="15"/>
        <v>0</v>
      </c>
      <c r="G111" s="6" t="s">
        <v>24</v>
      </c>
      <c r="H111" s="40">
        <f t="shared" si="16"/>
        <v>0</v>
      </c>
      <c r="I111" s="26" t="s">
        <v>55</v>
      </c>
    </row>
    <row r="112" spans="1:11" ht="16" x14ac:dyDescent="0.2">
      <c r="A112" s="5" t="s">
        <v>41</v>
      </c>
      <c r="B112" s="6"/>
      <c r="C112" s="5">
        <f t="shared" si="13"/>
        <v>1.04</v>
      </c>
      <c r="D112" s="6" t="s">
        <v>24</v>
      </c>
      <c r="E112" s="1" t="e">
        <f t="shared" si="14"/>
        <v>#REF!</v>
      </c>
      <c r="F112" s="5">
        <f t="shared" si="15"/>
        <v>0</v>
      </c>
      <c r="G112" s="6" t="s">
        <v>24</v>
      </c>
      <c r="H112" s="40">
        <f t="shared" si="16"/>
        <v>0</v>
      </c>
      <c r="I112" s="26" t="s">
        <v>55</v>
      </c>
    </row>
    <row r="113" spans="1:11" ht="16" x14ac:dyDescent="0.2">
      <c r="A113" s="5" t="s">
        <v>42</v>
      </c>
      <c r="B113" s="6"/>
      <c r="C113" s="36" t="e">
        <f t="shared" si="13"/>
        <v>#REF!</v>
      </c>
      <c r="D113" s="6" t="s">
        <v>24</v>
      </c>
      <c r="E113" s="1" t="e">
        <f t="shared" si="14"/>
        <v>#REF!</v>
      </c>
      <c r="F113" s="36" t="e">
        <f t="shared" si="15"/>
        <v>#REF!</v>
      </c>
      <c r="G113" s="6" t="s">
        <v>24</v>
      </c>
      <c r="H113" s="40" t="e">
        <f t="shared" si="16"/>
        <v>#REF!</v>
      </c>
      <c r="I113" s="26" t="s">
        <v>55</v>
      </c>
    </row>
    <row r="114" spans="1:11" ht="29" customHeight="1" x14ac:dyDescent="0.2">
      <c r="A114" s="5" t="s">
        <v>43</v>
      </c>
      <c r="B114" s="6"/>
      <c r="C114" s="36" t="e">
        <f t="shared" si="13"/>
        <v>#REF!</v>
      </c>
      <c r="D114" s="6" t="s">
        <v>24</v>
      </c>
      <c r="E114" s="1" t="e">
        <f t="shared" si="14"/>
        <v>#REF!</v>
      </c>
      <c r="F114" s="36" t="e">
        <f t="shared" si="15"/>
        <v>#REF!</v>
      </c>
      <c r="G114" s="6" t="s">
        <v>24</v>
      </c>
      <c r="H114" s="40" t="e">
        <f t="shared" si="16"/>
        <v>#REF!</v>
      </c>
      <c r="I114" s="26" t="s">
        <v>55</v>
      </c>
    </row>
    <row r="115" spans="1:11" ht="16" x14ac:dyDescent="0.2">
      <c r="A115" s="129" t="s">
        <v>26</v>
      </c>
      <c r="B115" s="130"/>
      <c r="C115" s="16"/>
      <c r="D115" s="17"/>
      <c r="E115" s="18"/>
      <c r="F115" s="37">
        <f>SUMIF(F108:F114,"&gt;0")</f>
        <v>0</v>
      </c>
      <c r="G115" s="20" t="s">
        <v>24</v>
      </c>
      <c r="H115" s="42" t="e">
        <f>SUM(H108:H114)</f>
        <v>#REF!</v>
      </c>
      <c r="I115" s="41" t="s">
        <v>55</v>
      </c>
    </row>
    <row r="116" spans="1:11" x14ac:dyDescent="0.2">
      <c r="A116" s="28"/>
      <c r="B116" s="28"/>
      <c r="F116" s="29"/>
      <c r="G116" s="29"/>
    </row>
    <row r="117" spans="1:11" ht="16" x14ac:dyDescent="0.2">
      <c r="A117" s="22" t="str">
        <f>A58</f>
        <v>Hospitality Lodging</v>
      </c>
      <c r="B117" s="23"/>
      <c r="C117" s="24"/>
      <c r="D117" s="24"/>
      <c r="E117" s="24"/>
      <c r="F117" s="24"/>
      <c r="G117" s="24"/>
      <c r="H117" s="24"/>
      <c r="I117" s="24"/>
      <c r="J117" s="24"/>
      <c r="K117" s="24"/>
    </row>
    <row r="118" spans="1:11" ht="32" x14ac:dyDescent="0.2">
      <c r="A118" s="3"/>
      <c r="C118" s="114" t="s">
        <v>29</v>
      </c>
      <c r="D118" s="115"/>
      <c r="E118" s="55" t="s">
        <v>0</v>
      </c>
      <c r="F118" s="114" t="s">
        <v>25</v>
      </c>
      <c r="G118" s="116"/>
      <c r="H118" s="116"/>
      <c r="I118" s="115"/>
    </row>
    <row r="119" spans="1:11" ht="16" x14ac:dyDescent="0.2">
      <c r="A119" s="13" t="s">
        <v>36</v>
      </c>
      <c r="B119" s="14"/>
      <c r="C119" s="5">
        <f t="shared" ref="C119:C126" si="17">LOOKUP(D60,M$4:M$17,N$4:N$17)</f>
        <v>1.37</v>
      </c>
      <c r="D119" s="6" t="s">
        <v>24</v>
      </c>
      <c r="E119" s="1" t="e">
        <f t="shared" ref="E119:E126" si="18">C60</f>
        <v>#REF!</v>
      </c>
      <c r="F119" s="5">
        <f t="shared" ref="F119:F126" si="19">IF(AND(C119&gt;0,ISNUMBER(E119)), C119*E119,0)</f>
        <v>0</v>
      </c>
      <c r="G119" s="6" t="s">
        <v>24</v>
      </c>
      <c r="H119" s="40">
        <f>F119*10.7639</f>
        <v>0</v>
      </c>
      <c r="I119" s="26" t="s">
        <v>55</v>
      </c>
    </row>
    <row r="120" spans="1:11" ht="16" x14ac:dyDescent="0.2">
      <c r="A120" s="13" t="s">
        <v>57</v>
      </c>
      <c r="B120" s="14"/>
      <c r="C120" s="5">
        <f t="shared" si="17"/>
        <v>1.04</v>
      </c>
      <c r="D120" s="6" t="s">
        <v>24</v>
      </c>
      <c r="E120" s="1" t="e">
        <f t="shared" si="18"/>
        <v>#REF!</v>
      </c>
      <c r="F120" s="5">
        <f t="shared" si="19"/>
        <v>0</v>
      </c>
      <c r="G120" s="6" t="s">
        <v>24</v>
      </c>
      <c r="H120" s="40">
        <f>F120*10.7639</f>
        <v>0</v>
      </c>
      <c r="I120" s="26" t="s">
        <v>55</v>
      </c>
    </row>
    <row r="121" spans="1:11" ht="16" x14ac:dyDescent="0.2">
      <c r="A121" s="5" t="s">
        <v>37</v>
      </c>
      <c r="B121" s="27"/>
      <c r="C121" s="5">
        <f t="shared" si="17"/>
        <v>1.37</v>
      </c>
      <c r="D121" s="6" t="s">
        <v>24</v>
      </c>
      <c r="E121" s="1" t="e">
        <f t="shared" si="18"/>
        <v>#REF!</v>
      </c>
      <c r="F121" s="5">
        <f t="shared" si="19"/>
        <v>0</v>
      </c>
      <c r="G121" s="6" t="s">
        <v>24</v>
      </c>
      <c r="H121" s="40">
        <f>F121*10.7639</f>
        <v>0</v>
      </c>
      <c r="I121" s="26" t="s">
        <v>55</v>
      </c>
    </row>
    <row r="122" spans="1:11" ht="16" x14ac:dyDescent="0.2">
      <c r="A122" s="25" t="s">
        <v>40</v>
      </c>
      <c r="B122" s="26"/>
      <c r="C122" s="5">
        <f t="shared" si="17"/>
        <v>0.74</v>
      </c>
      <c r="D122" s="6" t="s">
        <v>24</v>
      </c>
      <c r="E122" s="1" t="e">
        <f t="shared" si="18"/>
        <v>#REF!</v>
      </c>
      <c r="F122" s="5">
        <f t="shared" si="19"/>
        <v>0</v>
      </c>
      <c r="G122" s="6" t="s">
        <v>24</v>
      </c>
      <c r="H122" s="40">
        <f t="shared" ref="H122:H126" si="20">F122*10.7639</f>
        <v>0</v>
      </c>
      <c r="I122" s="26" t="s">
        <v>55</v>
      </c>
    </row>
    <row r="123" spans="1:11" ht="16" x14ac:dyDescent="0.2">
      <c r="A123" s="5" t="s">
        <v>41</v>
      </c>
      <c r="B123" s="6"/>
      <c r="C123" s="5">
        <f t="shared" si="17"/>
        <v>1.04</v>
      </c>
      <c r="D123" s="6" t="s">
        <v>24</v>
      </c>
      <c r="E123" s="1" t="e">
        <f t="shared" si="18"/>
        <v>#REF!</v>
      </c>
      <c r="F123" s="5">
        <f t="shared" si="19"/>
        <v>0</v>
      </c>
      <c r="G123" s="6" t="s">
        <v>24</v>
      </c>
      <c r="H123" s="40">
        <f t="shared" si="20"/>
        <v>0</v>
      </c>
      <c r="I123" s="26" t="s">
        <v>55</v>
      </c>
    </row>
    <row r="124" spans="1:11" ht="16" x14ac:dyDescent="0.2">
      <c r="A124" s="5" t="s">
        <v>42</v>
      </c>
      <c r="B124" s="6"/>
      <c r="C124" s="36" t="e">
        <f t="shared" si="17"/>
        <v>#REF!</v>
      </c>
      <c r="D124" s="6" t="s">
        <v>24</v>
      </c>
      <c r="E124" s="1" t="e">
        <f t="shared" si="18"/>
        <v>#REF!</v>
      </c>
      <c r="F124" s="36" t="e">
        <f t="shared" si="19"/>
        <v>#REF!</v>
      </c>
      <c r="G124" s="6" t="s">
        <v>24</v>
      </c>
      <c r="H124" s="40" t="e">
        <f t="shared" si="20"/>
        <v>#REF!</v>
      </c>
      <c r="I124" s="26" t="s">
        <v>55</v>
      </c>
    </row>
    <row r="125" spans="1:11" ht="16" x14ac:dyDescent="0.2">
      <c r="A125" s="5" t="s">
        <v>43</v>
      </c>
      <c r="B125" s="6"/>
      <c r="C125" s="36" t="e">
        <f t="shared" si="17"/>
        <v>#REF!</v>
      </c>
      <c r="D125" s="6" t="s">
        <v>24</v>
      </c>
      <c r="E125" s="1" t="e">
        <f t="shared" si="18"/>
        <v>#REF!</v>
      </c>
      <c r="F125" s="36" t="e">
        <f t="shared" si="19"/>
        <v>#REF!</v>
      </c>
      <c r="G125" s="6" t="s">
        <v>24</v>
      </c>
      <c r="H125" s="40" t="e">
        <f t="shared" si="20"/>
        <v>#REF!</v>
      </c>
      <c r="I125" s="26" t="s">
        <v>55</v>
      </c>
    </row>
    <row r="126" spans="1:11" ht="16" x14ac:dyDescent="0.2">
      <c r="A126" s="5" t="str">
        <f>A103</f>
        <v>Commercial Grease/Tallow</v>
      </c>
      <c r="B126" s="38"/>
      <c r="C126" s="36">
        <f t="shared" si="17"/>
        <v>0.12</v>
      </c>
      <c r="D126" s="6" t="s">
        <v>24</v>
      </c>
      <c r="E126" s="1" t="e">
        <f t="shared" si="18"/>
        <v>#REF!</v>
      </c>
      <c r="F126" s="36">
        <f t="shared" si="19"/>
        <v>0</v>
      </c>
      <c r="G126" s="6" t="s">
        <v>24</v>
      </c>
      <c r="H126" s="40">
        <f t="shared" si="20"/>
        <v>0</v>
      </c>
      <c r="I126" s="26" t="s">
        <v>55</v>
      </c>
    </row>
    <row r="127" spans="1:11" ht="16" x14ac:dyDescent="0.2">
      <c r="A127" s="129" t="s">
        <v>26</v>
      </c>
      <c r="B127" s="130"/>
      <c r="C127" s="16"/>
      <c r="D127" s="17"/>
      <c r="E127" s="18"/>
      <c r="F127" s="37">
        <f>SUMIF(F119:F126,"&gt;0")</f>
        <v>0</v>
      </c>
      <c r="G127" s="20" t="s">
        <v>24</v>
      </c>
      <c r="H127" s="42" t="e">
        <f>SUM(H119:H126)</f>
        <v>#REF!</v>
      </c>
      <c r="I127" s="41" t="s">
        <v>55</v>
      </c>
    </row>
    <row r="129" spans="1:6" x14ac:dyDescent="0.2">
      <c r="A129" s="148" t="s">
        <v>49</v>
      </c>
      <c r="B129" s="148"/>
    </row>
    <row r="130" spans="1:6" ht="16" x14ac:dyDescent="0.2">
      <c r="B130" s="33" t="str">
        <f>A72</f>
        <v>Office, Childcare &amp; School</v>
      </c>
      <c r="C130" s="33">
        <f>F81</f>
        <v>0</v>
      </c>
      <c r="D130" s="34" t="s">
        <v>24</v>
      </c>
      <c r="E130" s="43">
        <f t="shared" ref="E130:E135" si="21">C130*10.7639</f>
        <v>0</v>
      </c>
      <c r="F130" t="s">
        <v>55</v>
      </c>
    </row>
    <row r="131" spans="1:6" ht="16" x14ac:dyDescent="0.2">
      <c r="B131" s="33" t="str">
        <f>A83</f>
        <v>Retail, Light Industrial &amp; Warehouse</v>
      </c>
      <c r="C131" s="33">
        <f>F92</f>
        <v>0</v>
      </c>
      <c r="D131" s="34" t="s">
        <v>24</v>
      </c>
      <c r="E131" s="43">
        <f t="shared" si="21"/>
        <v>0</v>
      </c>
      <c r="F131" t="s">
        <v>55</v>
      </c>
    </row>
    <row r="132" spans="1:6" ht="16" x14ac:dyDescent="0.2">
      <c r="B132" s="33" t="str">
        <f>A94</f>
        <v>Restaurant &amp; Grocery Store</v>
      </c>
      <c r="C132" s="33">
        <f>F104</f>
        <v>0</v>
      </c>
      <c r="D132" s="34" t="s">
        <v>24</v>
      </c>
      <c r="E132" s="43">
        <f t="shared" si="21"/>
        <v>0</v>
      </c>
      <c r="F132" t="s">
        <v>55</v>
      </c>
    </row>
    <row r="133" spans="1:6" ht="16" x14ac:dyDescent="0.2">
      <c r="B133" s="33" t="str">
        <f>A106</f>
        <v>Large Venue</v>
      </c>
      <c r="C133" s="33">
        <f>F115</f>
        <v>0</v>
      </c>
      <c r="D133" s="34" t="s">
        <v>24</v>
      </c>
      <c r="E133" s="43">
        <f t="shared" si="21"/>
        <v>0</v>
      </c>
      <c r="F133" t="s">
        <v>55</v>
      </c>
    </row>
    <row r="134" spans="1:6" ht="16" x14ac:dyDescent="0.2">
      <c r="B134" s="33" t="str">
        <f>A117</f>
        <v>Hospitality Lodging</v>
      </c>
      <c r="C134" s="33">
        <f>F127</f>
        <v>0</v>
      </c>
      <c r="D134" s="34" t="s">
        <v>24</v>
      </c>
      <c r="E134" s="43">
        <f t="shared" si="21"/>
        <v>0</v>
      </c>
      <c r="F134" t="s">
        <v>55</v>
      </c>
    </row>
    <row r="135" spans="1:6" ht="16" x14ac:dyDescent="0.2">
      <c r="B135" s="3" t="s">
        <v>50</v>
      </c>
      <c r="C135" s="3">
        <f>SUMIF(C130:C134,"&gt;0")</f>
        <v>0</v>
      </c>
      <c r="D135" s="35" t="s">
        <v>24</v>
      </c>
      <c r="E135" s="44">
        <f t="shared" si="21"/>
        <v>0</v>
      </c>
      <c r="F135" s="3" t="s">
        <v>55</v>
      </c>
    </row>
  </sheetData>
  <sheetProtection deleteColumns="0" deleteRows="0"/>
  <mergeCells count="42">
    <mergeCell ref="A115:B115"/>
    <mergeCell ref="C118:D118"/>
    <mergeCell ref="F118:I118"/>
    <mergeCell ref="A127:B127"/>
    <mergeCell ref="A129:B129"/>
    <mergeCell ref="A92:B92"/>
    <mergeCell ref="C95:D95"/>
    <mergeCell ref="F95:I95"/>
    <mergeCell ref="A104:B104"/>
    <mergeCell ref="C107:D107"/>
    <mergeCell ref="F107:I107"/>
    <mergeCell ref="C84:D84"/>
    <mergeCell ref="F84:I84"/>
    <mergeCell ref="H50:J50"/>
    <mergeCell ref="H52:J52"/>
    <mergeCell ref="H54:J54"/>
    <mergeCell ref="H55:J55"/>
    <mergeCell ref="H56:J56"/>
    <mergeCell ref="E59:G59"/>
    <mergeCell ref="H64:J64"/>
    <mergeCell ref="A70:H70"/>
    <mergeCell ref="C73:D73"/>
    <mergeCell ref="F73:I73"/>
    <mergeCell ref="A81:B81"/>
    <mergeCell ref="E49:G49"/>
    <mergeCell ref="A15:H15"/>
    <mergeCell ref="E18:G18"/>
    <mergeCell ref="H23:J23"/>
    <mergeCell ref="E28:G28"/>
    <mergeCell ref="H29:J29"/>
    <mergeCell ref="H31:J31"/>
    <mergeCell ref="E38:G38"/>
    <mergeCell ref="H39:J39"/>
    <mergeCell ref="H41:J41"/>
    <mergeCell ref="H43:J43"/>
    <mergeCell ref="H44:J44"/>
    <mergeCell ref="A12:K12"/>
    <mergeCell ref="F5:G5"/>
    <mergeCell ref="J5:K5"/>
    <mergeCell ref="F6:G6"/>
    <mergeCell ref="B7:G7"/>
    <mergeCell ref="B10:H10"/>
  </mergeCells>
  <pageMargins left="0.7" right="0.7" top="0.75" bottom="0.75" header="0.3" footer="0.3"/>
  <pageSetup paperSize="5" scale="47" orientation="portrait" r:id="rId1"/>
  <headerFooter>
    <oddFooter xml:space="preserve">&amp;LDocument Number: 5492103    Version: 1_x000D_
</oddFooter>
  </headerFooter>
  <rowBreaks count="1" manualBreakCount="1">
    <brk id="6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R34"/>
  <sheetViews>
    <sheetView workbookViewId="0">
      <selection activeCell="N27" sqref="N27"/>
    </sheetView>
  </sheetViews>
  <sheetFormatPr baseColWidth="10" defaultColWidth="8.83203125" defaultRowHeight="15" x14ac:dyDescent="0.2"/>
  <cols>
    <col min="1" max="1" width="48.33203125" customWidth="1"/>
    <col min="2" max="2" width="9.33203125" customWidth="1"/>
    <col min="3" max="4" width="10" customWidth="1"/>
    <col min="5" max="5" width="10.33203125" customWidth="1"/>
    <col min="6" max="6" width="8.1640625" bestFit="1" customWidth="1"/>
    <col min="8" max="8" width="10.33203125" customWidth="1"/>
  </cols>
  <sheetData>
    <row r="1" spans="1:18" x14ac:dyDescent="0.2">
      <c r="A1" s="3" t="s">
        <v>64</v>
      </c>
      <c r="E1" s="7"/>
      <c r="F1" s="8" t="s">
        <v>28</v>
      </c>
    </row>
    <row r="2" spans="1:18" x14ac:dyDescent="0.2">
      <c r="P2" s="31" t="s">
        <v>27</v>
      </c>
      <c r="Q2" s="32"/>
      <c r="R2" s="32"/>
    </row>
    <row r="3" spans="1:18" x14ac:dyDescent="0.2">
      <c r="A3" s="9" t="s">
        <v>30</v>
      </c>
      <c r="B3" s="9"/>
      <c r="C3" s="10"/>
      <c r="D3" s="10"/>
      <c r="E3" s="10"/>
      <c r="F3" s="10"/>
      <c r="G3" s="10"/>
      <c r="H3" s="10"/>
      <c r="I3" s="10"/>
      <c r="P3" s="32"/>
      <c r="Q3" s="32"/>
      <c r="R3" s="32"/>
    </row>
    <row r="4" spans="1:18" x14ac:dyDescent="0.2">
      <c r="A4" s="45" t="s">
        <v>54</v>
      </c>
      <c r="B4" s="46">
        <v>17</v>
      </c>
      <c r="C4" s="146" t="str">
        <f>IF(B4&gt;100,"Total number of units must be 100 or less.  If greater than 100 then it is recommended that you discuss options with your waste hauler","")</f>
        <v/>
      </c>
      <c r="D4" s="124"/>
      <c r="E4" s="124"/>
      <c r="F4" s="124"/>
      <c r="G4" s="124"/>
      <c r="H4" s="124"/>
      <c r="P4" s="32"/>
      <c r="Q4" s="32"/>
      <c r="R4" s="32"/>
    </row>
    <row r="5" spans="1:18" x14ac:dyDescent="0.2">
      <c r="A5" s="28"/>
      <c r="P5" s="32" t="s">
        <v>8</v>
      </c>
      <c r="Q5" s="32" t="s">
        <v>23</v>
      </c>
      <c r="R5" s="32"/>
    </row>
    <row r="6" spans="1:18" x14ac:dyDescent="0.2">
      <c r="A6" s="9" t="s">
        <v>6</v>
      </c>
      <c r="B6" s="9"/>
      <c r="C6" s="10"/>
      <c r="D6" s="10"/>
      <c r="E6" s="10"/>
      <c r="F6" s="10"/>
      <c r="G6" s="10"/>
      <c r="H6" s="10"/>
      <c r="I6" s="10"/>
      <c r="P6" s="32" t="s">
        <v>10</v>
      </c>
      <c r="Q6" s="32">
        <v>0.59</v>
      </c>
      <c r="R6" s="32" t="s">
        <v>24</v>
      </c>
    </row>
    <row r="7" spans="1:18" x14ac:dyDescent="0.2">
      <c r="A7" s="128" t="s">
        <v>52</v>
      </c>
      <c r="B7" s="128"/>
      <c r="C7" s="128"/>
      <c r="D7" s="128"/>
      <c r="E7" s="128"/>
      <c r="F7" s="128"/>
      <c r="G7" s="128"/>
      <c r="H7" s="128"/>
      <c r="P7" s="32" t="s">
        <v>11</v>
      </c>
      <c r="Q7" s="32">
        <v>0.97</v>
      </c>
      <c r="R7" s="32" t="s">
        <v>24</v>
      </c>
    </row>
    <row r="8" spans="1:18" x14ac:dyDescent="0.2">
      <c r="A8" s="56"/>
      <c r="B8" s="56"/>
      <c r="C8" s="56"/>
      <c r="D8" s="56"/>
      <c r="E8" s="56"/>
      <c r="F8" s="56"/>
      <c r="G8" s="56"/>
      <c r="H8" s="56"/>
      <c r="P8" s="32" t="s">
        <v>13</v>
      </c>
      <c r="Q8" s="32">
        <v>4.88</v>
      </c>
      <c r="R8" s="32" t="s">
        <v>24</v>
      </c>
    </row>
    <row r="9" spans="1:18" ht="16" x14ac:dyDescent="0.2">
      <c r="A9" s="22" t="str">
        <f>A4</f>
        <v>Townhouse</v>
      </c>
      <c r="B9" s="23"/>
      <c r="C9" s="24"/>
      <c r="D9" s="24"/>
      <c r="E9" s="24"/>
      <c r="F9" s="24"/>
      <c r="G9" s="24"/>
      <c r="H9" s="24"/>
      <c r="I9" s="24"/>
      <c r="P9" s="32" t="s">
        <v>12</v>
      </c>
      <c r="Q9" s="32">
        <v>1.26</v>
      </c>
      <c r="R9" s="32" t="s">
        <v>24</v>
      </c>
    </row>
    <row r="10" spans="1:18" ht="32" x14ac:dyDescent="0.2">
      <c r="A10" s="4"/>
      <c r="B10" s="3"/>
      <c r="C10" s="55" t="s">
        <v>0</v>
      </c>
      <c r="D10" s="57" t="s">
        <v>8</v>
      </c>
      <c r="E10" s="127" t="s">
        <v>4</v>
      </c>
      <c r="F10" s="127"/>
      <c r="G10" s="127"/>
      <c r="P10" s="32" t="s">
        <v>14</v>
      </c>
      <c r="Q10" s="32">
        <v>4.88</v>
      </c>
      <c r="R10" s="32" t="s">
        <v>24</v>
      </c>
    </row>
    <row r="11" spans="1:18" ht="16" x14ac:dyDescent="0.2">
      <c r="A11" s="5" t="s">
        <v>1</v>
      </c>
      <c r="B11" s="6"/>
      <c r="C11" s="30" t="e">
        <f>VLOOKUP($B$4,#REF!,3,TRUE)</f>
        <v>#REF!</v>
      </c>
      <c r="D11" s="30" t="s">
        <v>12</v>
      </c>
      <c r="E11" s="30" t="s">
        <v>20</v>
      </c>
      <c r="F11" s="30" t="s">
        <v>22</v>
      </c>
      <c r="G11" s="30" t="s">
        <v>21</v>
      </c>
      <c r="P11" s="32" t="s">
        <v>15</v>
      </c>
      <c r="Q11" s="32">
        <v>6.26</v>
      </c>
      <c r="R11" s="32" t="s">
        <v>24</v>
      </c>
    </row>
    <row r="12" spans="1:18" ht="16" x14ac:dyDescent="0.2">
      <c r="A12" s="5" t="s">
        <v>56</v>
      </c>
      <c r="B12" s="6"/>
      <c r="C12" s="30" t="e">
        <f>VLOOKUP($B$4,#REF!,4,TRUE)</f>
        <v>#REF!</v>
      </c>
      <c r="D12" s="30" t="s">
        <v>11</v>
      </c>
      <c r="E12" s="30" t="s">
        <v>20</v>
      </c>
      <c r="F12" s="30" t="s">
        <v>22</v>
      </c>
      <c r="G12" s="30" t="s">
        <v>21</v>
      </c>
      <c r="P12" s="32" t="s">
        <v>16</v>
      </c>
      <c r="Q12" s="32">
        <v>7.67</v>
      </c>
      <c r="R12" s="32" t="s">
        <v>24</v>
      </c>
    </row>
    <row r="13" spans="1:18" ht="16" x14ac:dyDescent="0.2">
      <c r="A13" s="5" t="s">
        <v>48</v>
      </c>
      <c r="B13" s="6"/>
      <c r="C13" s="30" t="e">
        <f>VLOOKUP($B$4,#REF!,5,TRUE)</f>
        <v>#REF!</v>
      </c>
      <c r="D13" s="30" t="s">
        <v>12</v>
      </c>
      <c r="E13" s="30" t="s">
        <v>20</v>
      </c>
      <c r="F13" s="30" t="s">
        <v>22</v>
      </c>
      <c r="G13" s="30" t="s">
        <v>21</v>
      </c>
      <c r="P13" s="32" t="s">
        <v>17</v>
      </c>
      <c r="Q13" s="32">
        <v>7.67</v>
      </c>
      <c r="R13" s="32" t="s">
        <v>24</v>
      </c>
    </row>
    <row r="14" spans="1:18" ht="16" x14ac:dyDescent="0.2">
      <c r="A14" s="5" t="s">
        <v>2</v>
      </c>
      <c r="B14" s="6"/>
      <c r="C14" s="30" t="e">
        <f>VLOOKUP($B$4,#REF!,6,TRUE)</f>
        <v>#REF!</v>
      </c>
      <c r="D14" s="30" t="s">
        <v>11</v>
      </c>
      <c r="E14" s="30" t="s">
        <v>20</v>
      </c>
      <c r="F14" s="30" t="s">
        <v>22</v>
      </c>
      <c r="G14" s="30" t="s">
        <v>21</v>
      </c>
    </row>
    <row r="15" spans="1:18" ht="16" x14ac:dyDescent="0.2">
      <c r="A15" s="5" t="s">
        <v>7</v>
      </c>
      <c r="B15" s="6"/>
      <c r="C15" s="30" t="e">
        <f>VLOOKUP($B$4,#REF!,7,TRUE)</f>
        <v>#REF!</v>
      </c>
      <c r="D15" s="30" t="s">
        <v>11</v>
      </c>
      <c r="E15" s="30" t="s">
        <v>20</v>
      </c>
      <c r="F15" s="30" t="s">
        <v>22</v>
      </c>
      <c r="G15" s="30" t="s">
        <v>21</v>
      </c>
    </row>
    <row r="16" spans="1:18" ht="16" x14ac:dyDescent="0.2">
      <c r="A16" s="5" t="s">
        <v>47</v>
      </c>
      <c r="B16" s="6"/>
      <c r="C16" s="30" t="e">
        <f>VLOOKUP($B$4,#REF!,8,TRUE)</f>
        <v>#REF!</v>
      </c>
      <c r="D16" s="30" t="e">
        <f>VLOOKUP($B$4,#REF!,9,TRUE)</f>
        <v>#REF!</v>
      </c>
      <c r="E16" s="30" t="s">
        <v>20</v>
      </c>
      <c r="F16" s="30" t="s">
        <v>22</v>
      </c>
      <c r="G16" s="30" t="s">
        <v>21</v>
      </c>
    </row>
    <row r="17" spans="1:9" ht="16" x14ac:dyDescent="0.2">
      <c r="A17" s="5" t="s">
        <v>3</v>
      </c>
      <c r="B17" s="6"/>
      <c r="C17" s="30">
        <v>4</v>
      </c>
      <c r="D17" s="30" t="e">
        <f>VLOOKUP($B$4,#REF!,11,TRUE)</f>
        <v>#REF!</v>
      </c>
      <c r="E17" s="30" t="s">
        <v>20</v>
      </c>
      <c r="F17" s="30" t="s">
        <v>22</v>
      </c>
      <c r="G17" s="30" t="s">
        <v>21</v>
      </c>
    </row>
    <row r="18" spans="1:9" x14ac:dyDescent="0.2">
      <c r="A18" s="4"/>
      <c r="B18" s="4"/>
      <c r="C18" s="39"/>
      <c r="D18" s="39"/>
      <c r="E18" s="39"/>
      <c r="F18" s="39"/>
      <c r="G18" s="39"/>
    </row>
    <row r="19" spans="1:9" ht="14.5" customHeight="1" x14ac:dyDescent="0.2">
      <c r="A19" s="9" t="s">
        <v>19</v>
      </c>
      <c r="B19" s="10"/>
      <c r="C19" s="11"/>
      <c r="D19" s="11"/>
      <c r="E19" s="12"/>
      <c r="F19" s="10"/>
      <c r="G19" s="12"/>
      <c r="H19" s="10"/>
      <c r="I19" s="10"/>
    </row>
    <row r="20" spans="1:9" ht="14.5" customHeight="1" x14ac:dyDescent="0.2">
      <c r="A20" s="128" t="s">
        <v>53</v>
      </c>
      <c r="B20" s="128"/>
      <c r="C20" s="128"/>
      <c r="D20" s="128"/>
      <c r="E20" s="128"/>
      <c r="F20" s="128"/>
      <c r="G20" s="128"/>
      <c r="H20" s="128"/>
    </row>
    <row r="21" spans="1:9" ht="14.5" customHeight="1" x14ac:dyDescent="0.2">
      <c r="A21" s="56"/>
      <c r="B21" s="56"/>
      <c r="C21" s="56"/>
      <c r="D21" s="56"/>
      <c r="E21" s="56"/>
      <c r="F21" s="56"/>
      <c r="G21" s="56"/>
      <c r="H21" s="56"/>
    </row>
    <row r="22" spans="1:9" ht="16" x14ac:dyDescent="0.2">
      <c r="A22" s="22" t="str">
        <f>A4</f>
        <v>Townhouse</v>
      </c>
      <c r="B22" s="23"/>
      <c r="C22" s="24"/>
      <c r="D22" s="24"/>
      <c r="E22" s="24"/>
      <c r="F22" s="24"/>
      <c r="G22" s="24"/>
      <c r="H22" s="24"/>
      <c r="I22" s="24"/>
    </row>
    <row r="23" spans="1:9" ht="32" x14ac:dyDescent="0.2">
      <c r="A23" s="3"/>
      <c r="C23" s="144" t="s">
        <v>32</v>
      </c>
      <c r="D23" s="144"/>
      <c r="E23" s="55" t="s">
        <v>0</v>
      </c>
      <c r="F23" s="144" t="s">
        <v>25</v>
      </c>
      <c r="G23" s="144"/>
      <c r="H23" s="144"/>
      <c r="I23" s="144"/>
    </row>
    <row r="24" spans="1:9" ht="16" x14ac:dyDescent="0.2">
      <c r="A24" s="5" t="s">
        <v>1</v>
      </c>
      <c r="B24" s="6"/>
      <c r="C24" s="5">
        <f t="shared" ref="C24:C30" si="0">LOOKUP(D11,P$6:P$13,Q$6:Q$13)</f>
        <v>1.26</v>
      </c>
      <c r="D24" s="6" t="s">
        <v>24</v>
      </c>
      <c r="E24" s="1" t="e">
        <f t="shared" ref="E24:E30" si="1">C11</f>
        <v>#REF!</v>
      </c>
      <c r="F24" s="25" t="e">
        <f t="shared" ref="F24:F30" si="2">IF(C24&gt;0, C24*E24,0)</f>
        <v>#REF!</v>
      </c>
      <c r="G24" s="26" t="s">
        <v>24</v>
      </c>
      <c r="H24" s="40" t="e">
        <f>F24*10.7639</f>
        <v>#REF!</v>
      </c>
      <c r="I24" s="26" t="s">
        <v>55</v>
      </c>
    </row>
    <row r="25" spans="1:9" ht="16" x14ac:dyDescent="0.2">
      <c r="A25" s="5" t="s">
        <v>56</v>
      </c>
      <c r="B25" s="6"/>
      <c r="C25" s="5">
        <f t="shared" si="0"/>
        <v>0.97</v>
      </c>
      <c r="D25" s="6" t="s">
        <v>24</v>
      </c>
      <c r="E25" s="1" t="e">
        <f t="shared" si="1"/>
        <v>#REF!</v>
      </c>
      <c r="F25" s="25" t="e">
        <f t="shared" si="2"/>
        <v>#REF!</v>
      </c>
      <c r="G25" s="26" t="s">
        <v>24</v>
      </c>
      <c r="H25" s="40" t="e">
        <f>F25*10.7639</f>
        <v>#REF!</v>
      </c>
      <c r="I25" s="26" t="s">
        <v>55</v>
      </c>
    </row>
    <row r="26" spans="1:9" ht="16" x14ac:dyDescent="0.2">
      <c r="A26" s="5" t="s">
        <v>48</v>
      </c>
      <c r="B26" s="6"/>
      <c r="C26" s="5">
        <f t="shared" si="0"/>
        <v>1.26</v>
      </c>
      <c r="D26" s="6" t="s">
        <v>24</v>
      </c>
      <c r="E26" s="1" t="e">
        <f t="shared" si="1"/>
        <v>#REF!</v>
      </c>
      <c r="F26" s="5" t="e">
        <f t="shared" si="2"/>
        <v>#REF!</v>
      </c>
      <c r="G26" s="6" t="s">
        <v>24</v>
      </c>
      <c r="H26" s="40" t="e">
        <f t="shared" ref="H26:H30" si="3">F26*10.7639</f>
        <v>#REF!</v>
      </c>
      <c r="I26" s="26" t="s">
        <v>55</v>
      </c>
    </row>
    <row r="27" spans="1:9" ht="16" x14ac:dyDescent="0.2">
      <c r="A27" s="5" t="s">
        <v>2</v>
      </c>
      <c r="B27" s="6"/>
      <c r="C27" s="5">
        <f t="shared" si="0"/>
        <v>0.97</v>
      </c>
      <c r="D27" s="6" t="s">
        <v>24</v>
      </c>
      <c r="E27" s="1" t="e">
        <f t="shared" si="1"/>
        <v>#REF!</v>
      </c>
      <c r="F27" s="5" t="e">
        <f t="shared" si="2"/>
        <v>#REF!</v>
      </c>
      <c r="G27" s="6" t="s">
        <v>24</v>
      </c>
      <c r="H27" s="40" t="e">
        <f t="shared" si="3"/>
        <v>#REF!</v>
      </c>
      <c r="I27" s="26" t="s">
        <v>55</v>
      </c>
    </row>
    <row r="28" spans="1:9" ht="16" x14ac:dyDescent="0.2">
      <c r="A28" s="5" t="s">
        <v>7</v>
      </c>
      <c r="B28" s="6"/>
      <c r="C28" s="5">
        <f t="shared" si="0"/>
        <v>0.97</v>
      </c>
      <c r="D28" s="6" t="s">
        <v>24</v>
      </c>
      <c r="E28" s="1" t="e">
        <f t="shared" si="1"/>
        <v>#REF!</v>
      </c>
      <c r="F28" s="5" t="e">
        <f t="shared" si="2"/>
        <v>#REF!</v>
      </c>
      <c r="G28" s="6" t="s">
        <v>24</v>
      </c>
      <c r="H28" s="40" t="e">
        <f t="shared" si="3"/>
        <v>#REF!</v>
      </c>
      <c r="I28" s="26" t="s">
        <v>55</v>
      </c>
    </row>
    <row r="29" spans="1:9" ht="16" x14ac:dyDescent="0.2">
      <c r="A29" s="5" t="s">
        <v>47</v>
      </c>
      <c r="B29" s="6"/>
      <c r="C29" s="5" t="e">
        <f t="shared" si="0"/>
        <v>#REF!</v>
      </c>
      <c r="D29" s="6" t="s">
        <v>24</v>
      </c>
      <c r="E29" s="1" t="e">
        <f t="shared" si="1"/>
        <v>#REF!</v>
      </c>
      <c r="F29" s="5" t="e">
        <f>IF(AND(C29&gt;0,ISNUMBER(E29)), C29*E29,0)</f>
        <v>#REF!</v>
      </c>
      <c r="G29" s="6" t="s">
        <v>24</v>
      </c>
      <c r="H29" s="40" t="e">
        <f t="shared" si="3"/>
        <v>#REF!</v>
      </c>
      <c r="I29" s="26" t="s">
        <v>55</v>
      </c>
    </row>
    <row r="30" spans="1:9" ht="16" x14ac:dyDescent="0.2">
      <c r="A30" s="5" t="s">
        <v>3</v>
      </c>
      <c r="B30" s="6"/>
      <c r="C30" s="13" t="e">
        <f t="shared" si="0"/>
        <v>#REF!</v>
      </c>
      <c r="D30" s="14" t="s">
        <v>24</v>
      </c>
      <c r="E30" s="15">
        <f t="shared" si="1"/>
        <v>4</v>
      </c>
      <c r="F30" s="5" t="e">
        <f t="shared" si="2"/>
        <v>#REF!</v>
      </c>
      <c r="G30" s="6" t="s">
        <v>24</v>
      </c>
      <c r="H30" s="40" t="e">
        <f t="shared" si="3"/>
        <v>#REF!</v>
      </c>
      <c r="I30" s="26" t="s">
        <v>55</v>
      </c>
    </row>
    <row r="31" spans="1:9" ht="16" x14ac:dyDescent="0.2">
      <c r="A31" s="129" t="s">
        <v>26</v>
      </c>
      <c r="B31" s="130"/>
      <c r="C31" s="16"/>
      <c r="D31" s="17"/>
      <c r="E31" s="18"/>
      <c r="F31" s="19" t="e">
        <f>SUM(F24:F30)</f>
        <v>#REF!</v>
      </c>
      <c r="G31" s="20" t="s">
        <v>24</v>
      </c>
      <c r="H31" s="42" t="e">
        <f>SUM(H24:H30)</f>
        <v>#REF!</v>
      </c>
      <c r="I31" s="41" t="s">
        <v>55</v>
      </c>
    </row>
    <row r="32" spans="1:9" x14ac:dyDescent="0.2">
      <c r="A32" s="145" t="s">
        <v>46</v>
      </c>
      <c r="B32" s="145"/>
      <c r="C32" s="145"/>
      <c r="D32" s="145"/>
      <c r="E32" s="145"/>
      <c r="F32" s="145"/>
      <c r="G32" s="145"/>
    </row>
    <row r="34" spans="1:3" x14ac:dyDescent="0.2">
      <c r="A34" s="3" t="s">
        <v>49</v>
      </c>
      <c r="B34" s="3" t="e">
        <f>F31</f>
        <v>#REF!</v>
      </c>
      <c r="C34" s="3" t="str">
        <f>G31</f>
        <v>m2</v>
      </c>
    </row>
  </sheetData>
  <mergeCells count="8">
    <mergeCell ref="A31:B31"/>
    <mergeCell ref="A32:G32"/>
    <mergeCell ref="C4:H4"/>
    <mergeCell ref="A7:H7"/>
    <mergeCell ref="E10:G10"/>
    <mergeCell ref="A20:H20"/>
    <mergeCell ref="C23:D23"/>
    <mergeCell ref="F23:I23"/>
  </mergeCells>
  <pageMargins left="0.25" right="0.25" top="0.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Template</vt:lpstr>
      <vt:lpstr>Quiz</vt:lpstr>
      <vt:lpstr>Calculations</vt:lpstr>
      <vt:lpstr>Outcome</vt:lpstr>
      <vt:lpstr>2023 AptCondo Calculations</vt:lpstr>
      <vt:lpstr>2023Townhouse Calculations </vt:lpstr>
      <vt:lpstr>2023Commercial Calculations</vt:lpstr>
      <vt:lpstr>Townhouse</vt:lpstr>
      <vt:lpstr>'2023 AptCondo Calculations'!Print_Area</vt:lpstr>
      <vt:lpstr>'2023Commercial Calculations'!Print_Area</vt:lpstr>
      <vt:lpstr>'2023Townhouse Calculations '!Print_Area</vt:lpstr>
      <vt:lpstr>Template!Print_Area</vt:lpstr>
      <vt:lpstr>Townhouse!Print_Area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Karin Mark</cp:lastModifiedBy>
  <cp:lastPrinted>2023-05-05T22:32:21Z</cp:lastPrinted>
  <dcterms:created xsi:type="dcterms:W3CDTF">2016-12-22T00:49:33Z</dcterms:created>
  <dcterms:modified xsi:type="dcterms:W3CDTF">2024-12-16T23:32:34Z</dcterms:modified>
</cp:coreProperties>
</file>